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hai_quang_le_vn_ey_com/Documents/Documents/2025/2. Finhay FY24/4. WTB/2. IFRS/Archive/"/>
    </mc:Choice>
  </mc:AlternateContent>
  <xr:revisionPtr revIDLastSave="3071" documentId="13_ncr:1_{466BF8DA-6F7C-4A11-A07D-D1532ED46C9D}" xr6:coauthVersionLast="47" xr6:coauthVersionMax="47" xr10:uidLastSave="{C7433EA1-AFFF-48C5-AC3E-0BACF28FC47B}"/>
  <bookViews>
    <workbookView xWindow="-110" yWindow="-110" windowWidth="19420" windowHeight="10300" firstSheet="1" activeTab="1" xr2:uid="{D4E90CA6-5C1C-4C4E-A7FA-202F8F312C03}"/>
  </bookViews>
  <sheets>
    <sheet name="Accrued interest" sheetId="5" state="hidden" r:id="rId1"/>
    <sheet name="Book bút toán" sheetId="16" r:id="rId2"/>
    <sheet name="NTFS - Supporting" sheetId="17" r:id="rId3"/>
    <sheet name="Fair value 31.12.2023" sheetId="22" r:id="rId4"/>
    <sheet name="Amortised cost 31.12.2023" sheetId="14" r:id="rId5"/>
    <sheet name="Sheet6" sheetId="24" state="hidden" r:id="rId6"/>
    <sheet name="Sheet5" sheetId="23" state="hidden" r:id="rId7"/>
    <sheet name="Mua bán trong năm" sheetId="9" r:id="rId8"/>
    <sheet name="NTFS" sheetId="19" r:id="rId9"/>
    <sheet name="Sheet2" sheetId="20" state="hidden" r:id="rId10"/>
    <sheet name="AC 31.12.2022" sheetId="18" state="hidden" r:id="rId11"/>
    <sheet name="Sheet1" sheetId="7" state="hidden" r:id="rId12"/>
    <sheet name="EIR" sheetId="12" state="hidden" r:id="rId13"/>
    <sheet name="Mua bán - filtered" sheetId="10" r:id="rId14"/>
    <sheet name="121" sheetId="4" state="hidden" r:id="rId15"/>
    <sheet name="DS_INTERNAL_SETTINGS_STORAGE" sheetId="25" state="veryHidden" r:id="rId16"/>
    <sheet name="DS_INTERNAL_DOCGROUP_STORAGE" sheetId="26" state="veryHidden" r:id="rId17"/>
    <sheet name="DS_INTERNAL_DOCUMENT_STORAGE" sheetId="27" state="veryHidden" r:id="rId18"/>
    <sheet name="DS_INTERNAL_SNIP_STORAGE" sheetId="28" state="veryHidden" r:id="rId19"/>
  </sheets>
  <externalReferences>
    <externalReference r:id="rId20"/>
    <externalReference r:id="rId21"/>
  </externalReferences>
  <definedNames>
    <definedName name="_xlnm._FilterDatabase" localSheetId="14" hidden="1">'121'!$A$2:$AF$402</definedName>
    <definedName name="_xlnm._FilterDatabase" localSheetId="10" hidden="1">'AC 31.12.2022'!$A$1:$G$37</definedName>
    <definedName name="_xlnm._FilterDatabase" localSheetId="4" hidden="1">'Amortised cost 31.12.2023'!$A$2:$FT$29</definedName>
    <definedName name="_xlnm._FilterDatabase" localSheetId="3" hidden="1">'Fair value 31.12.2023'!$A$2:$GD$29</definedName>
    <definedName name="_xlnm._FilterDatabase" localSheetId="7" hidden="1">'Mua bán trong năm'!$A$1:$N$246</definedName>
    <definedName name="_xlnm._FilterDatabase" localSheetId="2" hidden="1">'NTFS - Supporting'!$A$3:$Q$58</definedName>
    <definedName name="_xlnm._FilterDatabase" localSheetId="5" hidden="1">Sheet6!$A$1:$B$1</definedName>
    <definedName name="_xlnm.Criteria" localSheetId="14">'121'!#REF!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A24" i="22" l="1"/>
  <c r="J4" i="22"/>
  <c r="J8" i="22"/>
  <c r="I3" i="22"/>
  <c r="J3" i="22"/>
  <c r="DV24" i="14"/>
  <c r="DU24" i="14"/>
  <c r="DW24" i="14"/>
  <c r="FR3" i="14"/>
  <c r="FS3" i="14"/>
  <c r="FP3" i="14"/>
  <c r="FQ3" i="14"/>
  <c r="N3" i="10"/>
  <c r="I7" i="19"/>
  <c r="I14" i="19"/>
  <c r="H14" i="19"/>
  <c r="J14" i="19"/>
  <c r="J6" i="19"/>
  <c r="J9" i="19" s="1"/>
  <c r="H6" i="19"/>
  <c r="H9" i="19" s="1"/>
  <c r="H15" i="19" s="1"/>
  <c r="G13" i="16"/>
  <c r="G16" i="16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15" i="19" l="1"/>
  <c r="G14" i="19"/>
  <c r="I15" i="22"/>
  <c r="DO2" i="22" l="1"/>
  <c r="I9" i="22"/>
  <c r="J9" i="22" s="1"/>
  <c r="I7" i="22"/>
  <c r="J7" i="22" s="1"/>
  <c r="I29" i="22"/>
  <c r="I23" i="22"/>
  <c r="J23" i="22" s="1"/>
  <c r="I22" i="22"/>
  <c r="I21" i="22"/>
  <c r="I20" i="22"/>
  <c r="J20" i="22" s="1"/>
  <c r="I19" i="22"/>
  <c r="J19" i="22" s="1"/>
  <c r="I18" i="22"/>
  <c r="J18" i="22" s="1"/>
  <c r="I17" i="22"/>
  <c r="J17" i="22" s="1"/>
  <c r="J23" i="17"/>
  <c r="J14" i="22"/>
  <c r="J15" i="17" s="1"/>
  <c r="J13" i="22"/>
  <c r="J24" i="17" s="1"/>
  <c r="J16" i="22"/>
  <c r="J21" i="17" s="1"/>
  <c r="FR1" i="14" a="1"/>
  <c r="FR1" i="14" s="1"/>
  <c r="ED11" i="22"/>
  <c r="AS24" i="22"/>
  <c r="AT24" i="22" s="1"/>
  <c r="AU24" i="22" s="1"/>
  <c r="AV24" i="22" s="1"/>
  <c r="AW24" i="22" s="1"/>
  <c r="AX24" i="22" s="1"/>
  <c r="AY24" i="22" s="1"/>
  <c r="AZ24" i="22" s="1"/>
  <c r="BA24" i="22" s="1"/>
  <c r="BB24" i="22" s="1"/>
  <c r="J15" i="22"/>
  <c r="J18" i="17" s="1"/>
  <c r="AR10" i="22"/>
  <c r="AS10" i="22" s="1"/>
  <c r="AT4" i="22"/>
  <c r="AU4" i="22" s="1"/>
  <c r="CZ3" i="22"/>
  <c r="I28" i="22"/>
  <c r="I27" i="22"/>
  <c r="I26" i="22"/>
  <c r="I25" i="22"/>
  <c r="I24" i="22"/>
  <c r="I12" i="22"/>
  <c r="I11" i="22"/>
  <c r="J11" i="22" s="1"/>
  <c r="J7" i="17" s="1"/>
  <c r="I10" i="22"/>
  <c r="I6" i="22"/>
  <c r="J6" i="22" s="1"/>
  <c r="J19" i="17" s="1"/>
  <c r="I5" i="22"/>
  <c r="J5" i="22" s="1"/>
  <c r="J22" i="17" s="1"/>
  <c r="I4" i="22"/>
  <c r="L23" i="22" l="1"/>
  <c r="J4" i="17"/>
  <c r="L17" i="22"/>
  <c r="J14" i="17"/>
  <c r="L19" i="22"/>
  <c r="J10" i="17"/>
  <c r="L18" i="22"/>
  <c r="J9" i="17"/>
  <c r="L8" i="22"/>
  <c r="J29" i="17"/>
  <c r="L7" i="22"/>
  <c r="J28" i="17"/>
  <c r="L9" i="22"/>
  <c r="J30" i="17"/>
  <c r="L20" i="22"/>
  <c r="J11" i="17"/>
  <c r="AT10" i="22"/>
  <c r="AU10" i="22" s="1"/>
  <c r="AV10" i="22" s="1"/>
  <c r="AW10" i="22" s="1"/>
  <c r="AX10" i="22" s="1"/>
  <c r="AY10" i="22" s="1"/>
  <c r="AZ10" i="22" s="1"/>
  <c r="BA10" i="22" s="1"/>
  <c r="BB10" i="22" s="1"/>
  <c r="BC10" i="22" s="1"/>
  <c r="BD10" i="22" s="1"/>
  <c r="BE10" i="22" s="1"/>
  <c r="BF10" i="22" s="1"/>
  <c r="BG10" i="22" s="1"/>
  <c r="BH10" i="22" s="1"/>
  <c r="AV4" i="22"/>
  <c r="AW4" i="22" s="1"/>
  <c r="AX4" i="22" s="1"/>
  <c r="AJ38" i="23"/>
  <c r="AE48" i="23"/>
  <c r="AD43" i="23"/>
  <c r="AD44" i="23"/>
  <c r="AD45" i="23"/>
  <c r="AD46" i="23"/>
  <c r="AD47" i="23"/>
  <c r="AD48" i="23"/>
  <c r="AD42" i="23"/>
  <c r="AB49" i="23"/>
  <c r="J10" i="22" l="1"/>
  <c r="J16" i="17" s="1"/>
  <c r="D29" i="22"/>
  <c r="D7" i="22"/>
  <c r="D8" i="22"/>
  <c r="D9" i="22"/>
  <c r="D17" i="22"/>
  <c r="D18" i="22"/>
  <c r="D19" i="22"/>
  <c r="D20" i="22"/>
  <c r="D21" i="22"/>
  <c r="D22" i="22"/>
  <c r="D25" i="22"/>
  <c r="D26" i="22"/>
  <c r="D27" i="22"/>
  <c r="D28" i="22"/>
  <c r="D3" i="22"/>
  <c r="ED29" i="22"/>
  <c r="AH29" i="22"/>
  <c r="AL29" i="22" s="1"/>
  <c r="AF29" i="22"/>
  <c r="AE29" i="22"/>
  <c r="CG29" i="22" s="1"/>
  <c r="AD29" i="22"/>
  <c r="Y29" i="22"/>
  <c r="AJ29" i="22" s="1"/>
  <c r="R29" i="22"/>
  <c r="ED28" i="22"/>
  <c r="AH28" i="22"/>
  <c r="AI28" i="22" s="1" a="1"/>
  <c r="AI28" i="22" s="1"/>
  <c r="AF28" i="22"/>
  <c r="AE28" i="22"/>
  <c r="CG28" i="22" s="1"/>
  <c r="AD28" i="22"/>
  <c r="Y28" i="22"/>
  <c r="AJ28" i="22" s="1"/>
  <c r="R28" i="22"/>
  <c r="CK28" i="22" s="1"/>
  <c r="J28" i="22" s="1"/>
  <c r="J26" i="17" s="1"/>
  <c r="ED27" i="22"/>
  <c r="AH27" i="22"/>
  <c r="AL27" i="22" s="1"/>
  <c r="AF27" i="22"/>
  <c r="AE27" i="22"/>
  <c r="CG27" i="22" s="1"/>
  <c r="AD27" i="22"/>
  <c r="Y27" i="22"/>
  <c r="AJ27" i="22" s="1"/>
  <c r="R27" i="22"/>
  <c r="ED26" i="22"/>
  <c r="AH26" i="22"/>
  <c r="AI26" i="22" s="1" a="1"/>
  <c r="AI26" i="22" s="1"/>
  <c r="AF26" i="22"/>
  <c r="AE26" i="22"/>
  <c r="CG26" i="22" s="1"/>
  <c r="AD26" i="22"/>
  <c r="Y26" i="22"/>
  <c r="AJ26" i="22" s="1"/>
  <c r="R26" i="22"/>
  <c r="ED25" i="22"/>
  <c r="AH25" i="22"/>
  <c r="AF25" i="22"/>
  <c r="AE25" i="22"/>
  <c r="CG25" i="22" s="1"/>
  <c r="AD25" i="22"/>
  <c r="Y25" i="22"/>
  <c r="AJ25" i="22" s="1"/>
  <c r="R25" i="22"/>
  <c r="ED24" i="22"/>
  <c r="AH24" i="22"/>
  <c r="AF24" i="22"/>
  <c r="AE24" i="22"/>
  <c r="AD24" i="22"/>
  <c r="Y24" i="22"/>
  <c r="AJ24" i="22" s="1"/>
  <c r="R24" i="22"/>
  <c r="ED23" i="22"/>
  <c r="EB23" i="22"/>
  <c r="AH23" i="22"/>
  <c r="AI23" i="22" s="1" a="1"/>
  <c r="AI23" i="22" s="1"/>
  <c r="AF23" i="22"/>
  <c r="AE23" i="22"/>
  <c r="CG23" i="22" s="1"/>
  <c r="AD23" i="22"/>
  <c r="Y23" i="22"/>
  <c r="AJ23" i="22" s="1"/>
  <c r="R23" i="22"/>
  <c r="ED22" i="22"/>
  <c r="AH22" i="22"/>
  <c r="AF22" i="22"/>
  <c r="AE22" i="22"/>
  <c r="CG22" i="22" s="1"/>
  <c r="AD22" i="22"/>
  <c r="Y22" i="22"/>
  <c r="AJ22" i="22" s="1"/>
  <c r="R22" i="22"/>
  <c r="ED21" i="22"/>
  <c r="AH21" i="22"/>
  <c r="AF21" i="22"/>
  <c r="AE21" i="22"/>
  <c r="CG21" i="22" s="1"/>
  <c r="AD21" i="22"/>
  <c r="Y21" i="22"/>
  <c r="AJ21" i="22" s="1"/>
  <c r="R21" i="22"/>
  <c r="ED20" i="22"/>
  <c r="AH20" i="22"/>
  <c r="AL20" i="22" s="1"/>
  <c r="AF20" i="22"/>
  <c r="AE20" i="22"/>
  <c r="CG20" i="22" s="1"/>
  <c r="AD20" i="22"/>
  <c r="Y20" i="22"/>
  <c r="AJ20" i="22" s="1"/>
  <c r="R20" i="22"/>
  <c r="EB20" i="22" s="1"/>
  <c r="ED19" i="22"/>
  <c r="EB19" i="22"/>
  <c r="AJ19" i="22"/>
  <c r="AH19" i="22"/>
  <c r="AF19" i="22"/>
  <c r="AE19" i="22"/>
  <c r="CG19" i="22" s="1"/>
  <c r="AD19" i="22"/>
  <c r="R19" i="22"/>
  <c r="ED18" i="22"/>
  <c r="CM18" i="22"/>
  <c r="AS18" i="22"/>
  <c r="AH18" i="22"/>
  <c r="AI18" i="22" s="1" a="1"/>
  <c r="AI18" i="22" s="1"/>
  <c r="AF18" i="22"/>
  <c r="AE18" i="22"/>
  <c r="AD18" i="22"/>
  <c r="Y18" i="22"/>
  <c r="AJ18" i="22" s="1"/>
  <c r="R18" i="22"/>
  <c r="ED17" i="22"/>
  <c r="EB17" i="22"/>
  <c r="AJ17" i="22"/>
  <c r="AH17" i="22"/>
  <c r="AI17" i="22" s="1" a="1"/>
  <c r="AI17" i="22" s="1"/>
  <c r="AF17" i="22"/>
  <c r="AE17" i="22"/>
  <c r="CG17" i="22" s="1"/>
  <c r="AD17" i="22"/>
  <c r="R17" i="22"/>
  <c r="AK17" i="22" s="1"/>
  <c r="ED16" i="22"/>
  <c r="EB16" i="22"/>
  <c r="AK16" i="22"/>
  <c r="AJ16" i="22"/>
  <c r="AH16" i="22"/>
  <c r="AI16" i="22" s="1" a="1"/>
  <c r="AI16" i="22" s="1"/>
  <c r="AE16" i="22"/>
  <c r="CG16" i="22" s="1"/>
  <c r="AD16" i="22"/>
  <c r="Z16" i="22"/>
  <c r="S16" i="22"/>
  <c r="AF16" i="22" s="1"/>
  <c r="R16" i="22"/>
  <c r="ED15" i="22"/>
  <c r="EB15" i="22"/>
  <c r="AK15" i="22"/>
  <c r="AJ15" i="22"/>
  <c r="AH15" i="22"/>
  <c r="AE15" i="22"/>
  <c r="CG15" i="22" s="1"/>
  <c r="AD15" i="22"/>
  <c r="Z15" i="22"/>
  <c r="S15" i="22"/>
  <c r="AF15" i="22" s="1"/>
  <c r="R15" i="22"/>
  <c r="ED14" i="22"/>
  <c r="EB14" i="22"/>
  <c r="AJ14" i="22"/>
  <c r="AH14" i="22"/>
  <c r="AI14" i="22" s="1" a="1"/>
  <c r="AI14" i="22" s="1"/>
  <c r="AE14" i="22"/>
  <c r="CG14" i="22" s="1"/>
  <c r="AD14" i="22"/>
  <c r="R14" i="22"/>
  <c r="P14" i="22"/>
  <c r="ED13" i="22"/>
  <c r="EB13" i="22"/>
  <c r="AJ13" i="22"/>
  <c r="AH13" i="22"/>
  <c r="AI13" i="22" s="1" a="1"/>
  <c r="AI13" i="22" s="1"/>
  <c r="AE13" i="22"/>
  <c r="CG13" i="22" s="1"/>
  <c r="AD13" i="22"/>
  <c r="R13" i="22"/>
  <c r="P13" i="22"/>
  <c r="AK13" i="22" s="1"/>
  <c r="ED12" i="22"/>
  <c r="AJ12" i="22"/>
  <c r="AH12" i="22"/>
  <c r="AI12" i="22" s="1" a="1"/>
  <c r="AI12" i="22" s="1"/>
  <c r="AF12" i="22"/>
  <c r="AE12" i="22"/>
  <c r="CG12" i="22" s="1"/>
  <c r="AD12" i="22"/>
  <c r="R12" i="22"/>
  <c r="P12" i="22"/>
  <c r="AJ11" i="22"/>
  <c r="AH11" i="22"/>
  <c r="AI11" i="22" s="1" a="1"/>
  <c r="AI11" i="22" s="1"/>
  <c r="AF11" i="22"/>
  <c r="AE11" i="22"/>
  <c r="AD11" i="22"/>
  <c r="R11" i="22"/>
  <c r="P11" i="22"/>
  <c r="AJ10" i="22"/>
  <c r="AH10" i="22"/>
  <c r="AI10" i="22" s="1" a="1"/>
  <c r="AI10" i="22" s="1"/>
  <c r="AF10" i="22"/>
  <c r="AE10" i="22"/>
  <c r="AD10" i="22"/>
  <c r="R10" i="22"/>
  <c r="P10" i="22"/>
  <c r="ED9" i="22"/>
  <c r="AJ9" i="22"/>
  <c r="AH9" i="22"/>
  <c r="AI9" i="22" s="1" a="1"/>
  <c r="AI9" i="22" s="1"/>
  <c r="AF9" i="22"/>
  <c r="AE9" i="22"/>
  <c r="CG9" i="22" s="1"/>
  <c r="AD9" i="22"/>
  <c r="R9" i="22"/>
  <c r="P9" i="22"/>
  <c r="ED8" i="22"/>
  <c r="EB8" i="22"/>
  <c r="AJ8" i="22"/>
  <c r="AH8" i="22"/>
  <c r="AI8" i="22" s="1" a="1"/>
  <c r="AI8" i="22" s="1"/>
  <c r="AF8" i="22"/>
  <c r="AE8" i="22"/>
  <c r="CG8" i="22" s="1"/>
  <c r="AD8" i="22"/>
  <c r="R8" i="22"/>
  <c r="Z8" i="22" s="1"/>
  <c r="P8" i="22"/>
  <c r="ED7" i="22"/>
  <c r="AH7" i="22"/>
  <c r="AI7" i="22" s="1" a="1"/>
  <c r="AI7" i="22" s="1"/>
  <c r="AE7" i="22"/>
  <c r="CG7" i="22" s="1"/>
  <c r="AD7" i="22"/>
  <c r="R7" i="22"/>
  <c r="P7" i="22"/>
  <c r="ED6" i="22"/>
  <c r="EB6" i="22"/>
  <c r="AJ6" i="22"/>
  <c r="AH6" i="22"/>
  <c r="AI6" i="22" s="1" a="1"/>
  <c r="AI6" i="22" s="1"/>
  <c r="AF6" i="22"/>
  <c r="AE6" i="22"/>
  <c r="CG6" i="22" s="1"/>
  <c r="AD6" i="22"/>
  <c r="R6" i="22"/>
  <c r="AK6" i="22" s="1"/>
  <c r="P6" i="22"/>
  <c r="ED5" i="22"/>
  <c r="EB5" i="22"/>
  <c r="AJ5" i="22"/>
  <c r="AH5" i="22"/>
  <c r="AF5" i="22"/>
  <c r="AE5" i="22"/>
  <c r="CG5" i="22" s="1"/>
  <c r="AD5" i="22"/>
  <c r="R5" i="22"/>
  <c r="P5" i="22"/>
  <c r="FW4" i="22"/>
  <c r="FW5" i="22" s="1"/>
  <c r="FW6" i="22" s="1"/>
  <c r="ED4" i="22"/>
  <c r="AJ4" i="22"/>
  <c r="AH4" i="22"/>
  <c r="AF4" i="22"/>
  <c r="AE4" i="22"/>
  <c r="AD4" i="22"/>
  <c r="R4" i="22"/>
  <c r="P4" i="22"/>
  <c r="FY3" i="22"/>
  <c r="ED3" i="22"/>
  <c r="AJ3" i="22"/>
  <c r="AH3" i="22"/>
  <c r="AI3" i="22" s="1" a="1"/>
  <c r="AI3" i="22" s="1"/>
  <c r="AF3" i="22"/>
  <c r="AE3" i="22"/>
  <c r="CG3" i="22" s="1"/>
  <c r="AD3" i="22"/>
  <c r="R3" i="22"/>
  <c r="AK3" i="22" s="1"/>
  <c r="P3" i="22"/>
  <c r="FM2" i="22"/>
  <c r="FN2" i="22" s="1"/>
  <c r="FO2" i="22" s="1"/>
  <c r="FP2" i="22" s="1"/>
  <c r="FQ2" i="22" s="1"/>
  <c r="FR2" i="22" s="1"/>
  <c r="FS2" i="22" s="1"/>
  <c r="FT2" i="22" s="1"/>
  <c r="FU2" i="22" s="1"/>
  <c r="DD2" i="22"/>
  <c r="DE2" i="22" s="1"/>
  <c r="DF2" i="22" s="1"/>
  <c r="DG2" i="22" s="1"/>
  <c r="DH2" i="22" s="1"/>
  <c r="DI2" i="22" s="1"/>
  <c r="DJ2" i="22" s="1"/>
  <c r="DK2" i="22" s="1"/>
  <c r="DL2" i="22" s="1"/>
  <c r="DM2" i="22" s="1"/>
  <c r="DN2" i="22" s="1"/>
  <c r="DP2" i="22" s="1"/>
  <c r="DQ2" i="22" s="1"/>
  <c r="DR2" i="22" s="1"/>
  <c r="DS2" i="22" s="1"/>
  <c r="DT2" i="22" s="1"/>
  <c r="DU2" i="22" s="1"/>
  <c r="DV2" i="22" s="1"/>
  <c r="DW2" i="22" s="1"/>
  <c r="DX2" i="22" s="1"/>
  <c r="DY2" i="22" s="1"/>
  <c r="DZ2" i="22" s="1"/>
  <c r="BJ2" i="22"/>
  <c r="BK2" i="22" s="1"/>
  <c r="BL2" i="22" s="1"/>
  <c r="BM2" i="22" s="1"/>
  <c r="BN2" i="22" s="1"/>
  <c r="BO2" i="22" s="1"/>
  <c r="BP2" i="22" s="1"/>
  <c r="BQ2" i="22" s="1"/>
  <c r="BR2" i="22" s="1"/>
  <c r="BS2" i="22" s="1"/>
  <c r="BT2" i="22" s="1"/>
  <c r="BU2" i="22" s="1"/>
  <c r="BV2" i="22" s="1"/>
  <c r="BW2" i="22" s="1"/>
  <c r="BX2" i="22" s="1"/>
  <c r="BY2" i="22" s="1"/>
  <c r="BZ2" i="22" s="1"/>
  <c r="CA2" i="22" s="1"/>
  <c r="CB2" i="22" s="1"/>
  <c r="CC2" i="22" s="1"/>
  <c r="CD2" i="22" s="1"/>
  <c r="CE2" i="22" s="1"/>
  <c r="CF2" i="22" s="1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" i="10"/>
  <c r="E5" i="17"/>
  <c r="E7" i="17"/>
  <c r="E8" i="17"/>
  <c r="E9" i="17"/>
  <c r="E10" i="17"/>
  <c r="E11" i="17"/>
  <c r="E12" i="17"/>
  <c r="E13" i="17"/>
  <c r="E16" i="17"/>
  <c r="E17" i="17"/>
  <c r="E19" i="17"/>
  <c r="E22" i="17"/>
  <c r="E23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4" i="17"/>
  <c r="L20" i="16"/>
  <c r="G20" i="16"/>
  <c r="L19" i="16"/>
  <c r="G19" i="16"/>
  <c r="CG18" i="22" l="1"/>
  <c r="EA6" i="22"/>
  <c r="CK22" i="22"/>
  <c r="J22" i="22" s="1"/>
  <c r="CK21" i="22"/>
  <c r="CK29" i="22"/>
  <c r="GB3" i="22"/>
  <c r="GD3" i="22" s="1"/>
  <c r="CK27" i="22"/>
  <c r="J27" i="22" s="1"/>
  <c r="J17" i="17" s="1"/>
  <c r="CK26" i="22"/>
  <c r="J26" i="22" s="1"/>
  <c r="J27" i="17" s="1"/>
  <c r="DD12" i="22"/>
  <c r="DB12" i="22"/>
  <c r="DC12" i="22"/>
  <c r="DE12" i="22"/>
  <c r="DF12" i="22"/>
  <c r="CK25" i="22"/>
  <c r="J25" i="22" s="1"/>
  <c r="J25" i="17" s="1"/>
  <c r="CO24" i="22"/>
  <c r="CS24" i="22"/>
  <c r="CT24" i="22"/>
  <c r="CP24" i="22"/>
  <c r="CQ24" i="22"/>
  <c r="CR24" i="22"/>
  <c r="CL24" i="22"/>
  <c r="CM24" i="22"/>
  <c r="CU24" i="22"/>
  <c r="CN24" i="22"/>
  <c r="CL4" i="22"/>
  <c r="CN4" i="22"/>
  <c r="CO4" i="22"/>
  <c r="CQ4" i="22"/>
  <c r="CM4" i="22"/>
  <c r="CP4" i="22"/>
  <c r="EB3" i="22"/>
  <c r="EA3" i="22" s="1"/>
  <c r="EA20" i="22"/>
  <c r="AL23" i="22"/>
  <c r="AM16" i="22"/>
  <c r="AL6" i="22"/>
  <c r="EA23" i="22"/>
  <c r="Z17" i="22"/>
  <c r="AM17" i="22" s="1"/>
  <c r="AL7" i="22"/>
  <c r="AL8" i="22"/>
  <c r="AL17" i="22"/>
  <c r="Z29" i="22"/>
  <c r="GB6" i="22"/>
  <c r="GD6" i="22" s="1"/>
  <c r="AK8" i="22"/>
  <c r="GB8" i="22" s="1"/>
  <c r="GD8" i="22" s="1"/>
  <c r="AL9" i="22"/>
  <c r="EE13" i="22"/>
  <c r="GB16" i="22"/>
  <c r="GD16" i="22" s="1"/>
  <c r="Z27" i="22"/>
  <c r="EA8" i="22"/>
  <c r="EE17" i="22"/>
  <c r="EF17" i="22" s="1"/>
  <c r="EG17" i="22" s="1"/>
  <c r="EH17" i="22" s="1"/>
  <c r="EI17" i="22" s="1"/>
  <c r="EJ17" i="22" s="1"/>
  <c r="EK17" i="22" s="1"/>
  <c r="EL17" i="22" s="1"/>
  <c r="EM17" i="22" s="1"/>
  <c r="EN17" i="22" s="1"/>
  <c r="EO17" i="22" s="1"/>
  <c r="EP17" i="22" s="1"/>
  <c r="EQ17" i="22" s="1"/>
  <c r="ER17" i="22" s="1"/>
  <c r="ES17" i="22" s="1"/>
  <c r="ET17" i="22" s="1"/>
  <c r="EU17" i="22" s="1"/>
  <c r="EV17" i="22" s="1"/>
  <c r="EW17" i="22" s="1"/>
  <c r="EX17" i="22" s="1"/>
  <c r="EY17" i="22" s="1"/>
  <c r="EZ17" i="22" s="1"/>
  <c r="FA17" i="22" s="1"/>
  <c r="FB17" i="22" s="1"/>
  <c r="FC17" i="22" s="1"/>
  <c r="FD17" i="22" s="1"/>
  <c r="FE17" i="22" s="1"/>
  <c r="FF17" i="22" s="1"/>
  <c r="FG17" i="22" s="1"/>
  <c r="FH17" i="22" s="1"/>
  <c r="FI17" i="22" s="1"/>
  <c r="FJ17" i="22" s="1"/>
  <c r="FK17" i="22" s="1"/>
  <c r="FL17" i="22" s="1"/>
  <c r="FM17" i="22" s="1"/>
  <c r="FN17" i="22" s="1"/>
  <c r="FO17" i="22" s="1"/>
  <c r="FP17" i="22" s="1"/>
  <c r="FQ17" i="22" s="1"/>
  <c r="FR17" i="22" s="1"/>
  <c r="FS17" i="22" s="1"/>
  <c r="FT17" i="22" s="1"/>
  <c r="FU17" i="22" s="1"/>
  <c r="EE19" i="22"/>
  <c r="EF19" i="22" s="1"/>
  <c r="EG19" i="22" s="1"/>
  <c r="EH19" i="22" s="1"/>
  <c r="EI19" i="22" s="1"/>
  <c r="EJ19" i="22" s="1"/>
  <c r="EK19" i="22" s="1"/>
  <c r="EL19" i="22" s="1"/>
  <c r="EM19" i="22" s="1"/>
  <c r="EN19" i="22" s="1"/>
  <c r="EO19" i="22" s="1"/>
  <c r="EP19" i="22" s="1"/>
  <c r="EQ19" i="22" s="1"/>
  <c r="ER19" i="22" s="1"/>
  <c r="ES19" i="22" s="1"/>
  <c r="ET19" i="22" s="1"/>
  <c r="EU19" i="22" s="1"/>
  <c r="EV19" i="22" s="1"/>
  <c r="EW19" i="22" s="1"/>
  <c r="EX19" i="22" s="1"/>
  <c r="EY19" i="22" s="1"/>
  <c r="EZ19" i="22" s="1"/>
  <c r="FA19" i="22" s="1"/>
  <c r="FB19" i="22" s="1"/>
  <c r="FC19" i="22" s="1"/>
  <c r="FD19" i="22" s="1"/>
  <c r="FE19" i="22" s="1"/>
  <c r="FF19" i="22" s="1"/>
  <c r="FG19" i="22" s="1"/>
  <c r="FH19" i="22" s="1"/>
  <c r="FI19" i="22" s="1"/>
  <c r="FJ19" i="22" s="1"/>
  <c r="FK19" i="22" s="1"/>
  <c r="FL19" i="22" s="1"/>
  <c r="FM19" i="22" s="1"/>
  <c r="FN19" i="22" s="1"/>
  <c r="FO19" i="22" s="1"/>
  <c r="FP19" i="22" s="1"/>
  <c r="FQ19" i="22" s="1"/>
  <c r="FR19" i="22" s="1"/>
  <c r="FS19" i="22" s="1"/>
  <c r="FT19" i="22" s="1"/>
  <c r="FU19" i="22" s="1"/>
  <c r="AI20" i="22" a="1"/>
  <c r="AI20" i="22" s="1"/>
  <c r="AL12" i="22"/>
  <c r="Z6" i="22"/>
  <c r="AM6" i="22" s="1"/>
  <c r="S13" i="22"/>
  <c r="AF13" i="22" s="1"/>
  <c r="EA13" i="22" s="1"/>
  <c r="AL18" i="22"/>
  <c r="EA19" i="22"/>
  <c r="EA16" i="22"/>
  <c r="EE5" i="22"/>
  <c r="EF5" i="22" s="1"/>
  <c r="EG5" i="22" s="1"/>
  <c r="EH5" i="22" s="1"/>
  <c r="EI5" i="22" s="1"/>
  <c r="EJ5" i="22" s="1"/>
  <c r="EK5" i="22" s="1"/>
  <c r="EL5" i="22" s="1"/>
  <c r="EM5" i="22" s="1"/>
  <c r="EN5" i="22" s="1"/>
  <c r="EO5" i="22" s="1"/>
  <c r="EP5" i="22" s="1"/>
  <c r="EQ5" i="22" s="1"/>
  <c r="ER5" i="22" s="1"/>
  <c r="ES5" i="22" s="1"/>
  <c r="ET5" i="22" s="1"/>
  <c r="EU5" i="22" s="1"/>
  <c r="EV5" i="22" s="1"/>
  <c r="EW5" i="22" s="1"/>
  <c r="EX5" i="22" s="1"/>
  <c r="EY5" i="22" s="1"/>
  <c r="EZ5" i="22" s="1"/>
  <c r="FA5" i="22" s="1"/>
  <c r="FB5" i="22" s="1"/>
  <c r="FC5" i="22" s="1"/>
  <c r="FD5" i="22" s="1"/>
  <c r="FE5" i="22" s="1"/>
  <c r="FF5" i="22" s="1"/>
  <c r="FG5" i="22" s="1"/>
  <c r="FH5" i="22" s="1"/>
  <c r="FI5" i="22" s="1"/>
  <c r="FJ5" i="22" s="1"/>
  <c r="FK5" i="22" s="1"/>
  <c r="FL5" i="22" s="1"/>
  <c r="FM5" i="22" s="1"/>
  <c r="FN5" i="22" s="1"/>
  <c r="FO5" i="22" s="1"/>
  <c r="FP5" i="22" s="1"/>
  <c r="FQ5" i="22" s="1"/>
  <c r="FR5" i="22" s="1"/>
  <c r="FS5" i="22" s="1"/>
  <c r="FT5" i="22" s="1"/>
  <c r="FU5" i="22" s="1"/>
  <c r="EE14" i="22"/>
  <c r="EE16" i="22"/>
  <c r="EF16" i="22" s="1"/>
  <c r="EG16" i="22" s="1"/>
  <c r="EH16" i="22" s="1"/>
  <c r="EI16" i="22" s="1"/>
  <c r="EJ16" i="22" s="1"/>
  <c r="EK16" i="22" s="1"/>
  <c r="EL16" i="22" s="1"/>
  <c r="EM16" i="22" s="1"/>
  <c r="EN16" i="22" s="1"/>
  <c r="EO16" i="22" s="1"/>
  <c r="EP16" i="22" s="1"/>
  <c r="EQ16" i="22" s="1"/>
  <c r="ER16" i="22" s="1"/>
  <c r="ES16" i="22" s="1"/>
  <c r="ET16" i="22" s="1"/>
  <c r="EU16" i="22" s="1"/>
  <c r="EV16" i="22" s="1"/>
  <c r="EW16" i="22" s="1"/>
  <c r="EX16" i="22" s="1"/>
  <c r="EY16" i="22" s="1"/>
  <c r="EZ16" i="22" s="1"/>
  <c r="FA16" i="22" s="1"/>
  <c r="FB16" i="22" s="1"/>
  <c r="FC16" i="22" s="1"/>
  <c r="FD16" i="22" s="1"/>
  <c r="FE16" i="22" s="1"/>
  <c r="FF16" i="22" s="1"/>
  <c r="FG16" i="22" s="1"/>
  <c r="FH16" i="22" s="1"/>
  <c r="FI16" i="22" s="1"/>
  <c r="FJ16" i="22" s="1"/>
  <c r="FK16" i="22" s="1"/>
  <c r="FL16" i="22" s="1"/>
  <c r="FM16" i="22" s="1"/>
  <c r="FN16" i="22" s="1"/>
  <c r="FO16" i="22" s="1"/>
  <c r="FP16" i="22" s="1"/>
  <c r="FQ16" i="22" s="1"/>
  <c r="FR16" i="22" s="1"/>
  <c r="FS16" i="22" s="1"/>
  <c r="FT16" i="22" s="1"/>
  <c r="FU16" i="22" s="1"/>
  <c r="AK27" i="22"/>
  <c r="AL10" i="22"/>
  <c r="EA5" i="22"/>
  <c r="AK29" i="22"/>
  <c r="AK9" i="22"/>
  <c r="Z9" i="22"/>
  <c r="AK11" i="22"/>
  <c r="GB11" i="22" s="1"/>
  <c r="Z11" i="22"/>
  <c r="AL3" i="22"/>
  <c r="CG4" i="22"/>
  <c r="FW7" i="22"/>
  <c r="FY6" i="22"/>
  <c r="FY5" i="22"/>
  <c r="Z3" i="22"/>
  <c r="AI5" i="22" a="1"/>
  <c r="AI5" i="22" s="1"/>
  <c r="AL5" i="22" s="1"/>
  <c r="AL19" i="22"/>
  <c r="AI19" i="22" a="1"/>
  <c r="AI19" i="22" s="1"/>
  <c r="P1" i="22"/>
  <c r="EB7" i="22"/>
  <c r="EA7" i="22" s="1"/>
  <c r="Z7" i="22"/>
  <c r="AI4" i="22" a="1"/>
  <c r="AI4" i="22" s="1"/>
  <c r="AL4" i="22" s="1"/>
  <c r="AL14" i="22"/>
  <c r="FY4" i="22"/>
  <c r="AK7" i="22"/>
  <c r="GB7" i="22" s="1"/>
  <c r="AI15" i="22" a="1"/>
  <c r="AI15" i="22" s="1"/>
  <c r="AL15" i="22" s="1"/>
  <c r="CG11" i="22"/>
  <c r="AL11" i="22"/>
  <c r="AK12" i="22"/>
  <c r="Z12" i="22"/>
  <c r="CI10" i="22"/>
  <c r="GB13" i="22"/>
  <c r="AM15" i="22"/>
  <c r="GB15" i="22"/>
  <c r="AK18" i="22"/>
  <c r="Z18" i="22"/>
  <c r="EE8" i="22"/>
  <c r="EF8" i="22" s="1"/>
  <c r="EG8" i="22" s="1"/>
  <c r="EH8" i="22" s="1"/>
  <c r="EI8" i="22" s="1"/>
  <c r="EJ8" i="22" s="1"/>
  <c r="EK8" i="22" s="1"/>
  <c r="EL8" i="22" s="1"/>
  <c r="EM8" i="22" s="1"/>
  <c r="EN8" i="22" s="1"/>
  <c r="EO8" i="22" s="1"/>
  <c r="EP8" i="22" s="1"/>
  <c r="EQ8" i="22" s="1"/>
  <c r="ER8" i="22" s="1"/>
  <c r="ES8" i="22" s="1"/>
  <c r="ET8" i="22" s="1"/>
  <c r="EU8" i="22" s="1"/>
  <c r="EV8" i="22" s="1"/>
  <c r="EW8" i="22" s="1"/>
  <c r="EX8" i="22" s="1"/>
  <c r="EY8" i="22" s="1"/>
  <c r="EZ8" i="22" s="1"/>
  <c r="FA8" i="22" s="1"/>
  <c r="FB8" i="22" s="1"/>
  <c r="FC8" i="22" s="1"/>
  <c r="FD8" i="22" s="1"/>
  <c r="FE8" i="22" s="1"/>
  <c r="FF8" i="22" s="1"/>
  <c r="FG8" i="22" s="1"/>
  <c r="FH8" i="22" s="1"/>
  <c r="FI8" i="22" s="1"/>
  <c r="FJ8" i="22" s="1"/>
  <c r="FK8" i="22" s="1"/>
  <c r="FL8" i="22" s="1"/>
  <c r="FM8" i="22" s="1"/>
  <c r="FN8" i="22" s="1"/>
  <c r="FO8" i="22" s="1"/>
  <c r="FP8" i="22" s="1"/>
  <c r="FQ8" i="22" s="1"/>
  <c r="FR8" i="22" s="1"/>
  <c r="FS8" i="22" s="1"/>
  <c r="FT8" i="22" s="1"/>
  <c r="FU8" i="22" s="1"/>
  <c r="S14" i="22"/>
  <c r="AF14" i="22" s="1"/>
  <c r="EA14" i="22" s="1"/>
  <c r="AK14" i="22"/>
  <c r="AL21" i="22"/>
  <c r="AI21" i="22" a="1"/>
  <c r="AI21" i="22" s="1"/>
  <c r="EA15" i="22"/>
  <c r="EE15" i="22"/>
  <c r="EF15" i="22" s="1"/>
  <c r="EG15" i="22" s="1"/>
  <c r="EH15" i="22" s="1"/>
  <c r="EI15" i="22" s="1"/>
  <c r="EJ15" i="22" s="1"/>
  <c r="EK15" i="22" s="1"/>
  <c r="EL15" i="22" s="1"/>
  <c r="EM15" i="22" s="1"/>
  <c r="EN15" i="22" s="1"/>
  <c r="EO15" i="22" s="1"/>
  <c r="EP15" i="22" s="1"/>
  <c r="EQ15" i="22" s="1"/>
  <c r="ER15" i="22" s="1"/>
  <c r="ES15" i="22" s="1"/>
  <c r="ET15" i="22" s="1"/>
  <c r="EU15" i="22" s="1"/>
  <c r="EV15" i="22" s="1"/>
  <c r="EW15" i="22" s="1"/>
  <c r="EX15" i="22" s="1"/>
  <c r="EY15" i="22" s="1"/>
  <c r="EZ15" i="22" s="1"/>
  <c r="FA15" i="22" s="1"/>
  <c r="FB15" i="22" s="1"/>
  <c r="FC15" i="22" s="1"/>
  <c r="FD15" i="22" s="1"/>
  <c r="FE15" i="22" s="1"/>
  <c r="FF15" i="22" s="1"/>
  <c r="FG15" i="22" s="1"/>
  <c r="FH15" i="22" s="1"/>
  <c r="FI15" i="22" s="1"/>
  <c r="FJ15" i="22" s="1"/>
  <c r="FK15" i="22" s="1"/>
  <c r="FL15" i="22" s="1"/>
  <c r="FM15" i="22" s="1"/>
  <c r="FN15" i="22" s="1"/>
  <c r="FO15" i="22" s="1"/>
  <c r="FP15" i="22" s="1"/>
  <c r="FQ15" i="22" s="1"/>
  <c r="FR15" i="22" s="1"/>
  <c r="FS15" i="22" s="1"/>
  <c r="FT15" i="22" s="1"/>
  <c r="FU15" i="22" s="1"/>
  <c r="EB18" i="22"/>
  <c r="Z14" i="22"/>
  <c r="EE6" i="22"/>
  <c r="EF6" i="22" s="1"/>
  <c r="EG6" i="22" s="1"/>
  <c r="EH6" i="22" s="1"/>
  <c r="EI6" i="22" s="1"/>
  <c r="EJ6" i="22" s="1"/>
  <c r="EK6" i="22" s="1"/>
  <c r="EL6" i="22" s="1"/>
  <c r="EM6" i="22" s="1"/>
  <c r="EN6" i="22" s="1"/>
  <c r="EO6" i="22" s="1"/>
  <c r="EP6" i="22" s="1"/>
  <c r="EQ6" i="22" s="1"/>
  <c r="ER6" i="22" s="1"/>
  <c r="ES6" i="22" s="1"/>
  <c r="ET6" i="22" s="1"/>
  <c r="EU6" i="22" s="1"/>
  <c r="EV6" i="22" s="1"/>
  <c r="EW6" i="22" s="1"/>
  <c r="EX6" i="22" s="1"/>
  <c r="EY6" i="22" s="1"/>
  <c r="EZ6" i="22" s="1"/>
  <c r="FA6" i="22" s="1"/>
  <c r="FB6" i="22" s="1"/>
  <c r="FC6" i="22" s="1"/>
  <c r="FD6" i="22" s="1"/>
  <c r="FE6" i="22" s="1"/>
  <c r="FF6" i="22" s="1"/>
  <c r="FG6" i="22" s="1"/>
  <c r="FH6" i="22" s="1"/>
  <c r="FI6" i="22" s="1"/>
  <c r="FJ6" i="22" s="1"/>
  <c r="FK6" i="22" s="1"/>
  <c r="FL6" i="22" s="1"/>
  <c r="FM6" i="22" s="1"/>
  <c r="FN6" i="22" s="1"/>
  <c r="FO6" i="22" s="1"/>
  <c r="FP6" i="22" s="1"/>
  <c r="FQ6" i="22" s="1"/>
  <c r="FR6" i="22" s="1"/>
  <c r="FS6" i="22" s="1"/>
  <c r="FT6" i="22" s="1"/>
  <c r="FU6" i="22" s="1"/>
  <c r="GB17" i="22"/>
  <c r="EE20" i="22"/>
  <c r="EF20" i="22" s="1"/>
  <c r="EG20" i="22" s="1"/>
  <c r="EH20" i="22" s="1"/>
  <c r="EI20" i="22" s="1"/>
  <c r="EJ20" i="22" s="1"/>
  <c r="EK20" i="22" s="1"/>
  <c r="EL20" i="22" s="1"/>
  <c r="EM20" i="22" s="1"/>
  <c r="EN20" i="22" s="1"/>
  <c r="EO20" i="22" s="1"/>
  <c r="EP20" i="22" s="1"/>
  <c r="EQ20" i="22" s="1"/>
  <c r="ER20" i="22" s="1"/>
  <c r="ES20" i="22" s="1"/>
  <c r="ET20" i="22" s="1"/>
  <c r="EU20" i="22" s="1"/>
  <c r="EV20" i="22" s="1"/>
  <c r="EW20" i="22" s="1"/>
  <c r="EX20" i="22" s="1"/>
  <c r="EY20" i="22" s="1"/>
  <c r="EZ20" i="22" s="1"/>
  <c r="FA20" i="22" s="1"/>
  <c r="FB20" i="22" s="1"/>
  <c r="FC20" i="22" s="1"/>
  <c r="FD20" i="22" s="1"/>
  <c r="FE20" i="22" s="1"/>
  <c r="FF20" i="22" s="1"/>
  <c r="FG20" i="22" s="1"/>
  <c r="FH20" i="22" s="1"/>
  <c r="FI20" i="22" s="1"/>
  <c r="FJ20" i="22" s="1"/>
  <c r="FK20" i="22" s="1"/>
  <c r="FL20" i="22" s="1"/>
  <c r="FM20" i="22" s="1"/>
  <c r="FN20" i="22" s="1"/>
  <c r="FO20" i="22" s="1"/>
  <c r="FP20" i="22" s="1"/>
  <c r="FQ20" i="22" s="1"/>
  <c r="FR20" i="22" s="1"/>
  <c r="FS20" i="22" s="1"/>
  <c r="FT20" i="22" s="1"/>
  <c r="FU20" i="22" s="1"/>
  <c r="AI22" i="22" a="1"/>
  <c r="AI22" i="22" s="1"/>
  <c r="AL22" i="22"/>
  <c r="EA17" i="22"/>
  <c r="EB28" i="22"/>
  <c r="AK28" i="22"/>
  <c r="Z28" i="22"/>
  <c r="Z13" i="22"/>
  <c r="AM13" i="22" s="1"/>
  <c r="CG24" i="22"/>
  <c r="EE23" i="22"/>
  <c r="EF23" i="22" s="1"/>
  <c r="EG23" i="22" s="1"/>
  <c r="EH23" i="22" s="1"/>
  <c r="EI23" i="22" s="1"/>
  <c r="EJ23" i="22" s="1"/>
  <c r="EK23" i="22" s="1"/>
  <c r="EL23" i="22" s="1"/>
  <c r="EM23" i="22" s="1"/>
  <c r="EN23" i="22" s="1"/>
  <c r="EO23" i="22" s="1"/>
  <c r="EP23" i="22" s="1"/>
  <c r="EQ23" i="22" s="1"/>
  <c r="ER23" i="22" s="1"/>
  <c r="ES23" i="22" s="1"/>
  <c r="ET23" i="22" s="1"/>
  <c r="EU23" i="22" s="1"/>
  <c r="EV23" i="22" s="1"/>
  <c r="EW23" i="22" s="1"/>
  <c r="EX23" i="22" s="1"/>
  <c r="EY23" i="22" s="1"/>
  <c r="EZ23" i="22" s="1"/>
  <c r="FA23" i="22" s="1"/>
  <c r="FB23" i="22" s="1"/>
  <c r="FC23" i="22" s="1"/>
  <c r="FD23" i="22" s="1"/>
  <c r="FE23" i="22" s="1"/>
  <c r="FF23" i="22" s="1"/>
  <c r="FG23" i="22" s="1"/>
  <c r="FH23" i="22" s="1"/>
  <c r="FI23" i="22" s="1"/>
  <c r="FJ23" i="22" s="1"/>
  <c r="FK23" i="22" s="1"/>
  <c r="FL23" i="22" s="1"/>
  <c r="FM23" i="22" s="1"/>
  <c r="FN23" i="22" s="1"/>
  <c r="FO23" i="22" s="1"/>
  <c r="FP23" i="22" s="1"/>
  <c r="FQ23" i="22" s="1"/>
  <c r="FR23" i="22" s="1"/>
  <c r="FS23" i="22" s="1"/>
  <c r="FT23" i="22" s="1"/>
  <c r="FU23" i="22" s="1"/>
  <c r="AL25" i="22"/>
  <c r="AI25" i="22" a="1"/>
  <c r="AI25" i="22" s="1"/>
  <c r="AI24" i="22" a="1"/>
  <c r="AI24" i="22" s="1"/>
  <c r="AL24" i="22" s="1"/>
  <c r="AL26" i="22"/>
  <c r="AI27" i="22" a="1"/>
  <c r="AI27" i="22" s="1"/>
  <c r="AL28" i="22"/>
  <c r="AI29" i="22" a="1"/>
  <c r="AI29" i="22" s="1"/>
  <c r="K31" i="17"/>
  <c r="L31" i="17"/>
  <c r="K32" i="17"/>
  <c r="L32" i="17"/>
  <c r="K33" i="17"/>
  <c r="L33" i="17"/>
  <c r="K34" i="17"/>
  <c r="L34" i="17"/>
  <c r="K35" i="17"/>
  <c r="L35" i="17"/>
  <c r="K36" i="17"/>
  <c r="L36" i="17"/>
  <c r="K37" i="17"/>
  <c r="L37" i="17"/>
  <c r="K38" i="17"/>
  <c r="L38" i="17"/>
  <c r="K39" i="17"/>
  <c r="L39" i="17"/>
  <c r="K40" i="17"/>
  <c r="L40" i="17"/>
  <c r="K41" i="17"/>
  <c r="L41" i="17"/>
  <c r="K42" i="17"/>
  <c r="L42" i="17"/>
  <c r="K43" i="17"/>
  <c r="L43" i="17"/>
  <c r="K44" i="17"/>
  <c r="L44" i="17"/>
  <c r="K45" i="17"/>
  <c r="L45" i="17"/>
  <c r="K46" i="17"/>
  <c r="L46" i="17"/>
  <c r="K47" i="17"/>
  <c r="L47" i="17"/>
  <c r="K48" i="17"/>
  <c r="L48" i="17"/>
  <c r="K49" i="17"/>
  <c r="L49" i="17"/>
  <c r="K50" i="17"/>
  <c r="L50" i="17"/>
  <c r="K51" i="17"/>
  <c r="L51" i="17"/>
  <c r="K52" i="17"/>
  <c r="L52" i="17"/>
  <c r="K53" i="17"/>
  <c r="L53" i="17"/>
  <c r="K54" i="17"/>
  <c r="L54" i="17"/>
  <c r="K55" i="17"/>
  <c r="L55" i="17"/>
  <c r="K56" i="17"/>
  <c r="L56" i="17"/>
  <c r="K57" i="17"/>
  <c r="L57" i="17"/>
  <c r="K58" i="17"/>
  <c r="L58" i="17"/>
  <c r="G5" i="17"/>
  <c r="H5" i="17"/>
  <c r="I5" i="17"/>
  <c r="G6" i="17"/>
  <c r="H6" i="17"/>
  <c r="I6" i="17"/>
  <c r="G7" i="17"/>
  <c r="C5" i="19" s="1"/>
  <c r="H7" i="17"/>
  <c r="I7" i="17"/>
  <c r="G8" i="17"/>
  <c r="C6" i="19" s="1"/>
  <c r="H8" i="17"/>
  <c r="I8" i="17"/>
  <c r="G9" i="17"/>
  <c r="H9" i="17"/>
  <c r="I9" i="17"/>
  <c r="G10" i="17"/>
  <c r="H10" i="17"/>
  <c r="I10" i="17"/>
  <c r="G11" i="17"/>
  <c r="H11" i="17"/>
  <c r="I11" i="17"/>
  <c r="G12" i="17"/>
  <c r="H12" i="17"/>
  <c r="I12" i="17"/>
  <c r="G13" i="17"/>
  <c r="H13" i="17"/>
  <c r="I13" i="17"/>
  <c r="G14" i="17"/>
  <c r="H14" i="17"/>
  <c r="I14" i="17"/>
  <c r="G15" i="17"/>
  <c r="C7" i="19" s="1"/>
  <c r="H15" i="17"/>
  <c r="I15" i="17"/>
  <c r="G16" i="17"/>
  <c r="C8" i="19" s="1"/>
  <c r="H16" i="17"/>
  <c r="I16" i="17"/>
  <c r="G17" i="17"/>
  <c r="H17" i="17"/>
  <c r="I17" i="17"/>
  <c r="G18" i="17"/>
  <c r="C13" i="19" s="1"/>
  <c r="H18" i="17"/>
  <c r="I18" i="17"/>
  <c r="G19" i="17"/>
  <c r="H19" i="17"/>
  <c r="I19" i="17"/>
  <c r="G20" i="17"/>
  <c r="H20" i="17"/>
  <c r="I20" i="17"/>
  <c r="G21" i="17"/>
  <c r="H21" i="17"/>
  <c r="I21" i="17"/>
  <c r="G22" i="17"/>
  <c r="H22" i="17"/>
  <c r="I22" i="17"/>
  <c r="G23" i="17"/>
  <c r="C14" i="19" s="1"/>
  <c r="H23" i="17"/>
  <c r="I23" i="17"/>
  <c r="G24" i="17"/>
  <c r="H24" i="17"/>
  <c r="I24" i="17"/>
  <c r="G25" i="17"/>
  <c r="H25" i="17"/>
  <c r="I25" i="17"/>
  <c r="G26" i="17"/>
  <c r="H26" i="17"/>
  <c r="I26" i="17"/>
  <c r="G27" i="17"/>
  <c r="H27" i="17"/>
  <c r="I27" i="17"/>
  <c r="G28" i="17"/>
  <c r="C15" i="19" s="1"/>
  <c r="H28" i="17"/>
  <c r="I28" i="17"/>
  <c r="G29" i="17"/>
  <c r="C16" i="19" s="1"/>
  <c r="H29" i="17"/>
  <c r="I29" i="17"/>
  <c r="G30" i="17"/>
  <c r="H30" i="17"/>
  <c r="I30" i="17"/>
  <c r="G31" i="17"/>
  <c r="H31" i="17"/>
  <c r="I31" i="17"/>
  <c r="G4" i="18" s="1"/>
  <c r="G32" i="17"/>
  <c r="H32" i="17"/>
  <c r="I32" i="17"/>
  <c r="G7" i="18" s="1"/>
  <c r="G33" i="17"/>
  <c r="H33" i="17"/>
  <c r="I33" i="17"/>
  <c r="G34" i="17"/>
  <c r="H34" i="17"/>
  <c r="I34" i="17"/>
  <c r="G35" i="17"/>
  <c r="H35" i="17"/>
  <c r="I35" i="17"/>
  <c r="G36" i="17"/>
  <c r="H36" i="17"/>
  <c r="I36" i="17"/>
  <c r="G37" i="17"/>
  <c r="H37" i="17"/>
  <c r="I37" i="17"/>
  <c r="G38" i="17"/>
  <c r="H38" i="17"/>
  <c r="I38" i="17"/>
  <c r="G39" i="17"/>
  <c r="H39" i="17"/>
  <c r="I39" i="17"/>
  <c r="G15" i="18" s="1"/>
  <c r="G40" i="17"/>
  <c r="H40" i="17"/>
  <c r="I40" i="17"/>
  <c r="G41" i="17"/>
  <c r="H41" i="17"/>
  <c r="I41" i="17"/>
  <c r="G42" i="17"/>
  <c r="H42" i="17"/>
  <c r="I42" i="17"/>
  <c r="G43" i="17"/>
  <c r="H43" i="17"/>
  <c r="I43" i="17"/>
  <c r="G44" i="17"/>
  <c r="H44" i="17"/>
  <c r="I44" i="17"/>
  <c r="G45" i="17"/>
  <c r="H45" i="17"/>
  <c r="I45" i="17"/>
  <c r="G46" i="17"/>
  <c r="H46" i="17"/>
  <c r="I46" i="17"/>
  <c r="G22" i="18" s="1"/>
  <c r="G47" i="17"/>
  <c r="H47" i="17"/>
  <c r="I47" i="17"/>
  <c r="G23" i="18" s="1"/>
  <c r="G48" i="17"/>
  <c r="H48" i="17"/>
  <c r="I48" i="17"/>
  <c r="G49" i="17"/>
  <c r="H49" i="17"/>
  <c r="I49" i="17"/>
  <c r="G50" i="17"/>
  <c r="H50" i="17"/>
  <c r="I50" i="17"/>
  <c r="G51" i="17"/>
  <c r="H51" i="17"/>
  <c r="I51" i="17"/>
  <c r="G52" i="17"/>
  <c r="H52" i="17"/>
  <c r="I52" i="17"/>
  <c r="G28" i="18" s="1"/>
  <c r="G53" i="17"/>
  <c r="H53" i="17"/>
  <c r="I53" i="17"/>
  <c r="G54" i="17"/>
  <c r="H54" i="17"/>
  <c r="I54" i="17"/>
  <c r="G30" i="18" s="1"/>
  <c r="G55" i="17"/>
  <c r="H55" i="17"/>
  <c r="I55" i="17"/>
  <c r="G56" i="17"/>
  <c r="H56" i="17"/>
  <c r="I56" i="17"/>
  <c r="G57" i="17"/>
  <c r="H57" i="17"/>
  <c r="I57" i="17"/>
  <c r="G58" i="17"/>
  <c r="H58" i="17"/>
  <c r="I58" i="17"/>
  <c r="G4" i="17"/>
  <c r="H4" i="17"/>
  <c r="I4" i="17"/>
  <c r="L5" i="17"/>
  <c r="L9" i="17"/>
  <c r="L10" i="17"/>
  <c r="L11" i="17"/>
  <c r="L12" i="17"/>
  <c r="L13" i="17"/>
  <c r="L14" i="17"/>
  <c r="L17" i="17"/>
  <c r="L18" i="17"/>
  <c r="L20" i="17"/>
  <c r="L21" i="17"/>
  <c r="L25" i="17"/>
  <c r="L26" i="17"/>
  <c r="L27" i="17"/>
  <c r="L4" i="17"/>
  <c r="L22" i="22" l="1"/>
  <c r="J13" i="17"/>
  <c r="EB29" i="22"/>
  <c r="EA29" i="22" s="1"/>
  <c r="J29" i="22"/>
  <c r="EB21" i="22"/>
  <c r="EA21" i="22" s="1"/>
  <c r="J21" i="22"/>
  <c r="EB26" i="22"/>
  <c r="EA26" i="22" s="1"/>
  <c r="EB22" i="22"/>
  <c r="EA22" i="22" s="1"/>
  <c r="J24" i="22"/>
  <c r="J5" i="17" s="1"/>
  <c r="EB25" i="22"/>
  <c r="EB27" i="22"/>
  <c r="EE3" i="22"/>
  <c r="EF3" i="22" s="1"/>
  <c r="EG3" i="22" s="1"/>
  <c r="EH3" i="22" s="1"/>
  <c r="EI3" i="22" s="1"/>
  <c r="EJ3" i="22" s="1"/>
  <c r="EK3" i="22" s="1"/>
  <c r="EL3" i="22" s="1"/>
  <c r="EM3" i="22" s="1"/>
  <c r="EN3" i="22" s="1"/>
  <c r="EO3" i="22" s="1"/>
  <c r="EP3" i="22" s="1"/>
  <c r="EQ3" i="22" s="1"/>
  <c r="ER3" i="22" s="1"/>
  <c r="ES3" i="22" s="1"/>
  <c r="FZ3" i="22" s="1"/>
  <c r="GA3" i="22" s="1"/>
  <c r="GC3" i="22" s="1"/>
  <c r="AM8" i="22"/>
  <c r="EB9" i="22"/>
  <c r="EA9" i="22" s="1"/>
  <c r="AM11" i="22"/>
  <c r="AM9" i="22"/>
  <c r="AM14" i="22"/>
  <c r="FZ5" i="22"/>
  <c r="GA5" i="22" s="1"/>
  <c r="AM7" i="22"/>
  <c r="GB9" i="22"/>
  <c r="GD9" i="22" s="1"/>
  <c r="GB27" i="22"/>
  <c r="GD27" i="22" s="1"/>
  <c r="AM27" i="22"/>
  <c r="GB29" i="22"/>
  <c r="GD29" i="22" s="1"/>
  <c r="AM29" i="22"/>
  <c r="ED10" i="22"/>
  <c r="EB10" i="22"/>
  <c r="EA10" i="22" s="1"/>
  <c r="FW8" i="22"/>
  <c r="FY7" i="22"/>
  <c r="AM28" i="22"/>
  <c r="GB28" i="22"/>
  <c r="GD7" i="22"/>
  <c r="EE7" i="22"/>
  <c r="EF7" i="22" s="1"/>
  <c r="EG7" i="22" s="1"/>
  <c r="EH7" i="22" s="1"/>
  <c r="EI7" i="22" s="1"/>
  <c r="EJ7" i="22" s="1"/>
  <c r="EK7" i="22" s="1"/>
  <c r="EL7" i="22" s="1"/>
  <c r="EM7" i="22" s="1"/>
  <c r="EN7" i="22" s="1"/>
  <c r="EO7" i="22" s="1"/>
  <c r="EP7" i="22" s="1"/>
  <c r="EQ7" i="22" s="1"/>
  <c r="ER7" i="22" s="1"/>
  <c r="ES7" i="22" s="1"/>
  <c r="ET7" i="22" s="1"/>
  <c r="EU7" i="22" s="1"/>
  <c r="EV7" i="22" s="1"/>
  <c r="EW7" i="22" s="1"/>
  <c r="EX7" i="22" s="1"/>
  <c r="EY7" i="22" s="1"/>
  <c r="EZ7" i="22" s="1"/>
  <c r="FA7" i="22" s="1"/>
  <c r="FB7" i="22" s="1"/>
  <c r="FC7" i="22" s="1"/>
  <c r="FD7" i="22" s="1"/>
  <c r="FE7" i="22" s="1"/>
  <c r="FF7" i="22" s="1"/>
  <c r="FG7" i="22" s="1"/>
  <c r="FH7" i="22" s="1"/>
  <c r="FI7" i="22" s="1"/>
  <c r="FJ7" i="22" s="1"/>
  <c r="FK7" i="22" s="1"/>
  <c r="FL7" i="22" s="1"/>
  <c r="FM7" i="22" s="1"/>
  <c r="FN7" i="22" s="1"/>
  <c r="FO7" i="22" s="1"/>
  <c r="FP7" i="22" s="1"/>
  <c r="FQ7" i="22" s="1"/>
  <c r="FR7" i="22" s="1"/>
  <c r="FS7" i="22" s="1"/>
  <c r="FT7" i="22" s="1"/>
  <c r="FU7" i="22" s="1"/>
  <c r="GB18" i="22"/>
  <c r="AM18" i="22"/>
  <c r="EA28" i="22"/>
  <c r="EE28" i="22"/>
  <c r="EF28" i="22" s="1"/>
  <c r="EG28" i="22" s="1"/>
  <c r="EH28" i="22" s="1"/>
  <c r="EI28" i="22" s="1"/>
  <c r="EJ28" i="22" s="1"/>
  <c r="EK28" i="22" s="1"/>
  <c r="EL28" i="22" s="1"/>
  <c r="EM28" i="22" s="1"/>
  <c r="EN28" i="22" s="1"/>
  <c r="EO28" i="22" s="1"/>
  <c r="EP28" i="22" s="1"/>
  <c r="EQ28" i="22" s="1"/>
  <c r="ER28" i="22" s="1"/>
  <c r="ES28" i="22" s="1"/>
  <c r="ET28" i="22" s="1"/>
  <c r="EU28" i="22" s="1"/>
  <c r="EV28" i="22" s="1"/>
  <c r="EW28" i="22" s="1"/>
  <c r="EX28" i="22" s="1"/>
  <c r="EY28" i="22" s="1"/>
  <c r="EZ28" i="22" s="1"/>
  <c r="FA28" i="22" s="1"/>
  <c r="FB28" i="22" s="1"/>
  <c r="FC28" i="22" s="1"/>
  <c r="FD28" i="22" s="1"/>
  <c r="FE28" i="22" s="1"/>
  <c r="FF28" i="22" s="1"/>
  <c r="FG28" i="22" s="1"/>
  <c r="FH28" i="22" s="1"/>
  <c r="FI28" i="22" s="1"/>
  <c r="FJ28" i="22" s="1"/>
  <c r="FK28" i="22" s="1"/>
  <c r="FL28" i="22" s="1"/>
  <c r="FM28" i="22" s="1"/>
  <c r="FN28" i="22" s="1"/>
  <c r="FO28" i="22" s="1"/>
  <c r="FP28" i="22" s="1"/>
  <c r="FQ28" i="22" s="1"/>
  <c r="FR28" i="22" s="1"/>
  <c r="FS28" i="22" s="1"/>
  <c r="FT28" i="22" s="1"/>
  <c r="FU28" i="22" s="1"/>
  <c r="GD17" i="22"/>
  <c r="GD15" i="22"/>
  <c r="AM12" i="22"/>
  <c r="GB12" i="22"/>
  <c r="EB24" i="22"/>
  <c r="GD13" i="22"/>
  <c r="EA18" i="22"/>
  <c r="EE18" i="22"/>
  <c r="EF18" i="22" s="1"/>
  <c r="EG18" i="22" s="1"/>
  <c r="EH18" i="22" s="1"/>
  <c r="EI18" i="22" s="1"/>
  <c r="EJ18" i="22" s="1"/>
  <c r="EK18" i="22" s="1"/>
  <c r="EL18" i="22" s="1"/>
  <c r="EM18" i="22" s="1"/>
  <c r="EN18" i="22" s="1"/>
  <c r="EO18" i="22" s="1"/>
  <c r="EP18" i="22" s="1"/>
  <c r="EQ18" i="22" s="1"/>
  <c r="ER18" i="22" s="1"/>
  <c r="ES18" i="22" s="1"/>
  <c r="ET18" i="22" s="1"/>
  <c r="EU18" i="22" s="1"/>
  <c r="EV18" i="22" s="1"/>
  <c r="EW18" i="22" s="1"/>
  <c r="EX18" i="22" s="1"/>
  <c r="EY18" i="22" s="1"/>
  <c r="EZ18" i="22" s="1"/>
  <c r="FA18" i="22" s="1"/>
  <c r="FB18" i="22" s="1"/>
  <c r="FC18" i="22" s="1"/>
  <c r="FD18" i="22" s="1"/>
  <c r="FE18" i="22" s="1"/>
  <c r="FF18" i="22" s="1"/>
  <c r="FG18" i="22" s="1"/>
  <c r="FH18" i="22" s="1"/>
  <c r="FI18" i="22" s="1"/>
  <c r="FJ18" i="22" s="1"/>
  <c r="FK18" i="22" s="1"/>
  <c r="FL18" i="22" s="1"/>
  <c r="FM18" i="22" s="1"/>
  <c r="FN18" i="22" s="1"/>
  <c r="FO18" i="22" s="1"/>
  <c r="FP18" i="22" s="1"/>
  <c r="FQ18" i="22" s="1"/>
  <c r="FR18" i="22" s="1"/>
  <c r="FS18" i="22" s="1"/>
  <c r="FT18" i="22" s="1"/>
  <c r="FU18" i="22" s="1"/>
  <c r="GD11" i="22"/>
  <c r="GB14" i="22"/>
  <c r="EB11" i="22"/>
  <c r="EE11" i="22" s="1"/>
  <c r="EF11" i="22" s="1"/>
  <c r="EG11" i="22" s="1"/>
  <c r="EH11" i="22" s="1"/>
  <c r="EI11" i="22" s="1"/>
  <c r="EJ11" i="22" s="1"/>
  <c r="EK11" i="22" s="1"/>
  <c r="EL11" i="22" s="1"/>
  <c r="EM11" i="22" s="1"/>
  <c r="EN11" i="22" s="1"/>
  <c r="EO11" i="22" s="1"/>
  <c r="EP11" i="22" s="1"/>
  <c r="EQ11" i="22" s="1"/>
  <c r="ER11" i="22" s="1"/>
  <c r="ES11" i="22" s="1"/>
  <c r="ET11" i="22" s="1"/>
  <c r="EU11" i="22" s="1"/>
  <c r="EV11" i="22" s="1"/>
  <c r="EW11" i="22" s="1"/>
  <c r="EX11" i="22" s="1"/>
  <c r="EY11" i="22" s="1"/>
  <c r="EZ11" i="22" s="1"/>
  <c r="FA11" i="22" s="1"/>
  <c r="FB11" i="22" s="1"/>
  <c r="FC11" i="22" s="1"/>
  <c r="FD11" i="22" s="1"/>
  <c r="FE11" i="22" s="1"/>
  <c r="FF11" i="22" s="1"/>
  <c r="FG11" i="22" s="1"/>
  <c r="FH11" i="22" s="1"/>
  <c r="FI11" i="22" s="1"/>
  <c r="CG10" i="22"/>
  <c r="FZ6" i="22"/>
  <c r="GA6" i="22" s="1"/>
  <c r="AM3" i="22"/>
  <c r="G26" i="18"/>
  <c r="G14" i="18"/>
  <c r="G36" i="18"/>
  <c r="G29" i="18"/>
  <c r="G21" i="18"/>
  <c r="G17" i="18"/>
  <c r="G9" i="18"/>
  <c r="G20" i="18"/>
  <c r="G12" i="18"/>
  <c r="G34" i="18"/>
  <c r="G27" i="18"/>
  <c r="C12" i="19"/>
  <c r="C4" i="19"/>
  <c r="M49" i="17"/>
  <c r="N46" i="17"/>
  <c r="N49" i="17"/>
  <c r="N41" i="17"/>
  <c r="M57" i="17"/>
  <c r="M51" i="17"/>
  <c r="M43" i="17"/>
  <c r="M35" i="17"/>
  <c r="N32" i="17"/>
  <c r="G25" i="18"/>
  <c r="N57" i="17"/>
  <c r="N44" i="17"/>
  <c r="M34" i="17"/>
  <c r="N31" i="17"/>
  <c r="G19" i="18"/>
  <c r="M48" i="17"/>
  <c r="M32" i="17"/>
  <c r="G11" i="18"/>
  <c r="N36" i="17"/>
  <c r="M31" i="17"/>
  <c r="G10" i="18"/>
  <c r="M44" i="17"/>
  <c r="M38" i="17"/>
  <c r="N56" i="17"/>
  <c r="N35" i="17"/>
  <c r="N52" i="17"/>
  <c r="N42" i="17"/>
  <c r="M52" i="17"/>
  <c r="N37" i="17"/>
  <c r="M54" i="17"/>
  <c r="N34" i="17"/>
  <c r="M41" i="17"/>
  <c r="N48" i="17"/>
  <c r="M46" i="17"/>
  <c r="M33" i="17"/>
  <c r="M37" i="17"/>
  <c r="M58" i="17"/>
  <c r="M56" i="17"/>
  <c r="M47" i="17"/>
  <c r="N45" i="17"/>
  <c r="N43" i="17"/>
  <c r="N38" i="17"/>
  <c r="M55" i="17"/>
  <c r="N53" i="17"/>
  <c r="N51" i="17"/>
  <c r="N40" i="17"/>
  <c r="M36" i="17"/>
  <c r="N33" i="17"/>
  <c r="N54" i="17"/>
  <c r="N50" i="17"/>
  <c r="M42" i="17"/>
  <c r="M40" i="17"/>
  <c r="N58" i="17"/>
  <c r="M39" i="17"/>
  <c r="G13" i="18"/>
  <c r="N55" i="17"/>
  <c r="N47" i="17"/>
  <c r="N39" i="17"/>
  <c r="G18" i="18"/>
  <c r="G35" i="18"/>
  <c r="G24" i="18"/>
  <c r="G16" i="18"/>
  <c r="G37" i="18"/>
  <c r="M50" i="17"/>
  <c r="M53" i="17"/>
  <c r="M45" i="17"/>
  <c r="AA15" i="14"/>
  <c r="AA16" i="14"/>
  <c r="P16" i="14"/>
  <c r="P15" i="14"/>
  <c r="EE21" i="22" l="1"/>
  <c r="EF21" i="22" s="1"/>
  <c r="EG21" i="22" s="1"/>
  <c r="EH21" i="22" s="1"/>
  <c r="EI21" i="22" s="1"/>
  <c r="EJ21" i="22" s="1"/>
  <c r="EK21" i="22" s="1"/>
  <c r="EL21" i="22" s="1"/>
  <c r="EM21" i="22" s="1"/>
  <c r="EN21" i="22" s="1"/>
  <c r="EO21" i="22" s="1"/>
  <c r="EP21" i="22" s="1"/>
  <c r="EQ21" i="22" s="1"/>
  <c r="ER21" i="22" s="1"/>
  <c r="ES21" i="22" s="1"/>
  <c r="ET21" i="22" s="1"/>
  <c r="EU21" i="22" s="1"/>
  <c r="EV21" i="22" s="1"/>
  <c r="EW21" i="22" s="1"/>
  <c r="EX21" i="22" s="1"/>
  <c r="EY21" i="22" s="1"/>
  <c r="EZ21" i="22" s="1"/>
  <c r="FA21" i="22" s="1"/>
  <c r="FB21" i="22" s="1"/>
  <c r="FC21" i="22" s="1"/>
  <c r="FD21" i="22" s="1"/>
  <c r="FE21" i="22" s="1"/>
  <c r="FF21" i="22" s="1"/>
  <c r="FG21" i="22" s="1"/>
  <c r="FH21" i="22" s="1"/>
  <c r="FI21" i="22" s="1"/>
  <c r="FJ21" i="22" s="1"/>
  <c r="FK21" i="22" s="1"/>
  <c r="FL21" i="22" s="1"/>
  <c r="FM21" i="22" s="1"/>
  <c r="FN21" i="22" s="1"/>
  <c r="FO21" i="22" s="1"/>
  <c r="FP21" i="22" s="1"/>
  <c r="FQ21" i="22" s="1"/>
  <c r="FR21" i="22" s="1"/>
  <c r="FS21" i="22" s="1"/>
  <c r="FT21" i="22" s="1"/>
  <c r="FU21" i="22" s="1"/>
  <c r="L21" i="22"/>
  <c r="J12" i="17"/>
  <c r="L29" i="22"/>
  <c r="J20" i="17"/>
  <c r="EE26" i="22"/>
  <c r="EF26" i="22" s="1"/>
  <c r="EG26" i="22" s="1"/>
  <c r="EH26" i="22" s="1"/>
  <c r="EI26" i="22" s="1"/>
  <c r="EJ26" i="22" s="1"/>
  <c r="EK26" i="22" s="1"/>
  <c r="EL26" i="22" s="1"/>
  <c r="EM26" i="22" s="1"/>
  <c r="EN26" i="22" s="1"/>
  <c r="EO26" i="22" s="1"/>
  <c r="EP26" i="22" s="1"/>
  <c r="EQ26" i="22" s="1"/>
  <c r="ER26" i="22" s="1"/>
  <c r="ES26" i="22" s="1"/>
  <c r="ET26" i="22" s="1"/>
  <c r="EU26" i="22" s="1"/>
  <c r="EV26" i="22" s="1"/>
  <c r="EW26" i="22" s="1"/>
  <c r="EX26" i="22" s="1"/>
  <c r="EY26" i="22" s="1"/>
  <c r="EZ26" i="22" s="1"/>
  <c r="FA26" i="22" s="1"/>
  <c r="FB26" i="22" s="1"/>
  <c r="FC26" i="22" s="1"/>
  <c r="FD26" i="22" s="1"/>
  <c r="FE26" i="22" s="1"/>
  <c r="FF26" i="22" s="1"/>
  <c r="FG26" i="22" s="1"/>
  <c r="FH26" i="22" s="1"/>
  <c r="FI26" i="22" s="1"/>
  <c r="FJ26" i="22" s="1"/>
  <c r="FK26" i="22" s="1"/>
  <c r="FL26" i="22" s="1"/>
  <c r="FM26" i="22" s="1"/>
  <c r="FN26" i="22" s="1"/>
  <c r="FO26" i="22" s="1"/>
  <c r="FP26" i="22" s="1"/>
  <c r="FQ26" i="22" s="1"/>
  <c r="FR26" i="22" s="1"/>
  <c r="FS26" i="22" s="1"/>
  <c r="FT26" i="22" s="1"/>
  <c r="FU26" i="22" s="1"/>
  <c r="EE22" i="22"/>
  <c r="EF22" i="22" s="1"/>
  <c r="EG22" i="22" s="1"/>
  <c r="EH22" i="22" s="1"/>
  <c r="EI22" i="22" s="1"/>
  <c r="EJ22" i="22" s="1"/>
  <c r="EK22" i="22" s="1"/>
  <c r="EL22" i="22" s="1"/>
  <c r="EM22" i="22" s="1"/>
  <c r="EN22" i="22" s="1"/>
  <c r="EO22" i="22" s="1"/>
  <c r="EP22" i="22" s="1"/>
  <c r="EQ22" i="22" s="1"/>
  <c r="ER22" i="22" s="1"/>
  <c r="ES22" i="22" s="1"/>
  <c r="ET22" i="22" s="1"/>
  <c r="EU22" i="22" s="1"/>
  <c r="EV22" i="22" s="1"/>
  <c r="EW22" i="22" s="1"/>
  <c r="EX22" i="22" s="1"/>
  <c r="EY22" i="22" s="1"/>
  <c r="EZ22" i="22" s="1"/>
  <c r="FA22" i="22" s="1"/>
  <c r="FB22" i="22" s="1"/>
  <c r="FC22" i="22" s="1"/>
  <c r="FD22" i="22" s="1"/>
  <c r="FE22" i="22" s="1"/>
  <c r="FF22" i="22" s="1"/>
  <c r="FG22" i="22" s="1"/>
  <c r="FH22" i="22" s="1"/>
  <c r="FI22" i="22" s="1"/>
  <c r="FJ22" i="22" s="1"/>
  <c r="FK22" i="22" s="1"/>
  <c r="FL22" i="22" s="1"/>
  <c r="FM22" i="22" s="1"/>
  <c r="FN22" i="22" s="1"/>
  <c r="FO22" i="22" s="1"/>
  <c r="FP22" i="22" s="1"/>
  <c r="FQ22" i="22" s="1"/>
  <c r="FR22" i="22" s="1"/>
  <c r="FS22" i="22" s="1"/>
  <c r="FT22" i="22" s="1"/>
  <c r="FU22" i="22" s="1"/>
  <c r="EE29" i="22"/>
  <c r="EF29" i="22" s="1"/>
  <c r="EG29" i="22" s="1"/>
  <c r="EH29" i="22" s="1"/>
  <c r="EI29" i="22" s="1"/>
  <c r="EJ29" i="22" s="1"/>
  <c r="EK29" i="22" s="1"/>
  <c r="EL29" i="22" s="1"/>
  <c r="EM29" i="22" s="1"/>
  <c r="EN29" i="22" s="1"/>
  <c r="EO29" i="22" s="1"/>
  <c r="EP29" i="22" s="1"/>
  <c r="EQ29" i="22" s="1"/>
  <c r="ER29" i="22" s="1"/>
  <c r="ES29" i="22" s="1"/>
  <c r="ET29" i="22" s="1"/>
  <c r="EU29" i="22" s="1"/>
  <c r="EV29" i="22" s="1"/>
  <c r="EW29" i="22" s="1"/>
  <c r="EX29" i="22" s="1"/>
  <c r="EY29" i="22" s="1"/>
  <c r="EZ29" i="22" s="1"/>
  <c r="FA29" i="22" s="1"/>
  <c r="FB29" i="22" s="1"/>
  <c r="FC29" i="22" s="1"/>
  <c r="FD29" i="22" s="1"/>
  <c r="FE29" i="22" s="1"/>
  <c r="FF29" i="22" s="1"/>
  <c r="FG29" i="22" s="1"/>
  <c r="FH29" i="22" s="1"/>
  <c r="FI29" i="22" s="1"/>
  <c r="FJ29" i="22" s="1"/>
  <c r="FK29" i="22" s="1"/>
  <c r="FL29" i="22" s="1"/>
  <c r="FM29" i="22" s="1"/>
  <c r="FN29" i="22" s="1"/>
  <c r="FO29" i="22" s="1"/>
  <c r="FP29" i="22" s="1"/>
  <c r="FQ29" i="22" s="1"/>
  <c r="FR29" i="22" s="1"/>
  <c r="FS29" i="22" s="1"/>
  <c r="FT29" i="22" s="1"/>
  <c r="FU29" i="22" s="1"/>
  <c r="EE27" i="22"/>
  <c r="EF27" i="22" s="1"/>
  <c r="EG27" i="22" s="1"/>
  <c r="EH27" i="22" s="1"/>
  <c r="EI27" i="22" s="1"/>
  <c r="EJ27" i="22" s="1"/>
  <c r="EK27" i="22" s="1"/>
  <c r="EL27" i="22" s="1"/>
  <c r="EM27" i="22" s="1"/>
  <c r="EN27" i="22" s="1"/>
  <c r="EO27" i="22" s="1"/>
  <c r="EP27" i="22" s="1"/>
  <c r="EQ27" i="22" s="1"/>
  <c r="ER27" i="22" s="1"/>
  <c r="ES27" i="22" s="1"/>
  <c r="ET27" i="22" s="1"/>
  <c r="EU27" i="22" s="1"/>
  <c r="EV27" i="22" s="1"/>
  <c r="EW27" i="22" s="1"/>
  <c r="EX27" i="22" s="1"/>
  <c r="EY27" i="22" s="1"/>
  <c r="EZ27" i="22" s="1"/>
  <c r="FA27" i="22" s="1"/>
  <c r="FB27" i="22" s="1"/>
  <c r="FC27" i="22" s="1"/>
  <c r="FD27" i="22" s="1"/>
  <c r="FE27" i="22" s="1"/>
  <c r="FF27" i="22" s="1"/>
  <c r="FG27" i="22" s="1"/>
  <c r="FH27" i="22" s="1"/>
  <c r="FI27" i="22" s="1"/>
  <c r="FJ27" i="22" s="1"/>
  <c r="FK27" i="22" s="1"/>
  <c r="FL27" i="22" s="1"/>
  <c r="FM27" i="22" s="1"/>
  <c r="FN27" i="22" s="1"/>
  <c r="FO27" i="22" s="1"/>
  <c r="FP27" i="22" s="1"/>
  <c r="FQ27" i="22" s="1"/>
  <c r="FR27" i="22" s="1"/>
  <c r="FS27" i="22" s="1"/>
  <c r="FT27" i="22" s="1"/>
  <c r="FU27" i="22" s="1"/>
  <c r="EA27" i="22"/>
  <c r="EE25" i="22"/>
  <c r="EF25" i="22" s="1"/>
  <c r="EG25" i="22" s="1"/>
  <c r="EH25" i="22" s="1"/>
  <c r="EI25" i="22" s="1"/>
  <c r="EJ25" i="22" s="1"/>
  <c r="EK25" i="22" s="1"/>
  <c r="EL25" i="22" s="1"/>
  <c r="EM25" i="22" s="1"/>
  <c r="EN25" i="22" s="1"/>
  <c r="EO25" i="22" s="1"/>
  <c r="EP25" i="22" s="1"/>
  <c r="EQ25" i="22" s="1"/>
  <c r="ER25" i="22" s="1"/>
  <c r="ES25" i="22" s="1"/>
  <c r="ET25" i="22" s="1"/>
  <c r="EU25" i="22" s="1"/>
  <c r="EV25" i="22" s="1"/>
  <c r="EW25" i="22" s="1"/>
  <c r="EX25" i="22" s="1"/>
  <c r="EY25" i="22" s="1"/>
  <c r="EZ25" i="22" s="1"/>
  <c r="FA25" i="22" s="1"/>
  <c r="FB25" i="22" s="1"/>
  <c r="FC25" i="22" s="1"/>
  <c r="FD25" i="22" s="1"/>
  <c r="FE25" i="22" s="1"/>
  <c r="FF25" i="22" s="1"/>
  <c r="FG25" i="22" s="1"/>
  <c r="FH25" i="22" s="1"/>
  <c r="FI25" i="22" s="1"/>
  <c r="FJ25" i="22" s="1"/>
  <c r="FK25" i="22" s="1"/>
  <c r="FL25" i="22" s="1"/>
  <c r="FM25" i="22" s="1"/>
  <c r="FN25" i="22" s="1"/>
  <c r="FO25" i="22" s="1"/>
  <c r="FP25" i="22" s="1"/>
  <c r="FQ25" i="22" s="1"/>
  <c r="FR25" i="22" s="1"/>
  <c r="FS25" i="22" s="1"/>
  <c r="FT25" i="22" s="1"/>
  <c r="FU25" i="22" s="1"/>
  <c r="EA25" i="22"/>
  <c r="ET3" i="22"/>
  <c r="EU3" i="22" s="1"/>
  <c r="EV3" i="22" s="1"/>
  <c r="EW3" i="22" s="1"/>
  <c r="EX3" i="22" s="1"/>
  <c r="EY3" i="22" s="1"/>
  <c r="EZ3" i="22" s="1"/>
  <c r="FA3" i="22" s="1"/>
  <c r="FB3" i="22" s="1"/>
  <c r="FC3" i="22" s="1"/>
  <c r="FD3" i="22" s="1"/>
  <c r="FE3" i="22" s="1"/>
  <c r="FF3" i="22" s="1"/>
  <c r="FG3" i="22" s="1"/>
  <c r="FH3" i="22" s="1"/>
  <c r="FI3" i="22" s="1"/>
  <c r="FJ3" i="22" s="1"/>
  <c r="FK3" i="22" s="1"/>
  <c r="FL3" i="22" s="1"/>
  <c r="FM3" i="22" s="1"/>
  <c r="FN3" i="22" s="1"/>
  <c r="FO3" i="22" s="1"/>
  <c r="FP3" i="22" s="1"/>
  <c r="FQ3" i="22" s="1"/>
  <c r="FR3" i="22" s="1"/>
  <c r="FS3" i="22" s="1"/>
  <c r="FT3" i="22" s="1"/>
  <c r="FU3" i="22" s="1"/>
  <c r="L3" i="22"/>
  <c r="GC6" i="22"/>
  <c r="L6" i="22"/>
  <c r="L5" i="22"/>
  <c r="EE9" i="22"/>
  <c r="EF9" i="22" s="1"/>
  <c r="EG9" i="22" s="1"/>
  <c r="EH9" i="22" s="1"/>
  <c r="EI9" i="22" s="1"/>
  <c r="EJ9" i="22" s="1"/>
  <c r="EK9" i="22" s="1"/>
  <c r="EL9" i="22" s="1"/>
  <c r="EM9" i="22" s="1"/>
  <c r="EN9" i="22" s="1"/>
  <c r="EO9" i="22" s="1"/>
  <c r="EP9" i="22" s="1"/>
  <c r="EQ9" i="22" s="1"/>
  <c r="ER9" i="22" s="1"/>
  <c r="ES9" i="22" s="1"/>
  <c r="ET9" i="22" s="1"/>
  <c r="EU9" i="22" s="1"/>
  <c r="EV9" i="22" s="1"/>
  <c r="EW9" i="22" s="1"/>
  <c r="EX9" i="22" s="1"/>
  <c r="EY9" i="22" s="1"/>
  <c r="EZ9" i="22" s="1"/>
  <c r="FA9" i="22" s="1"/>
  <c r="FB9" i="22" s="1"/>
  <c r="FC9" i="22" s="1"/>
  <c r="FD9" i="22" s="1"/>
  <c r="FE9" i="22" s="1"/>
  <c r="FF9" i="22" s="1"/>
  <c r="FG9" i="22" s="1"/>
  <c r="FH9" i="22" s="1"/>
  <c r="FI9" i="22" s="1"/>
  <c r="FJ9" i="22" s="1"/>
  <c r="FK9" i="22" s="1"/>
  <c r="FL9" i="22" s="1"/>
  <c r="FM9" i="22" s="1"/>
  <c r="FN9" i="22" s="1"/>
  <c r="FO9" i="22" s="1"/>
  <c r="FP9" i="22" s="1"/>
  <c r="FQ9" i="22" s="1"/>
  <c r="FR9" i="22" s="1"/>
  <c r="FS9" i="22" s="1"/>
  <c r="FT9" i="22" s="1"/>
  <c r="FU9" i="22" s="1"/>
  <c r="EA11" i="22"/>
  <c r="FJ11" i="22"/>
  <c r="FK11" i="22" s="1"/>
  <c r="FL11" i="22" s="1"/>
  <c r="FM11" i="22" s="1"/>
  <c r="FN11" i="22" s="1"/>
  <c r="FO11" i="22" s="1"/>
  <c r="FP11" i="22" s="1"/>
  <c r="FQ11" i="22" s="1"/>
  <c r="FR11" i="22" s="1"/>
  <c r="FS11" i="22" s="1"/>
  <c r="FT11" i="22" s="1"/>
  <c r="FU11" i="22" s="1"/>
  <c r="EE10" i="22"/>
  <c r="EF10" i="22" s="1"/>
  <c r="EG10" i="22" s="1"/>
  <c r="EH10" i="22" s="1"/>
  <c r="EI10" i="22" s="1"/>
  <c r="EJ10" i="22" s="1"/>
  <c r="EK10" i="22" s="1"/>
  <c r="EL10" i="22" s="1"/>
  <c r="EM10" i="22" s="1"/>
  <c r="EN10" i="22" s="1"/>
  <c r="EO10" i="22" s="1"/>
  <c r="EP10" i="22" s="1"/>
  <c r="EQ10" i="22" s="1"/>
  <c r="ER10" i="22" s="1"/>
  <c r="ES10" i="22" s="1"/>
  <c r="ET10" i="22" s="1"/>
  <c r="EU10" i="22" s="1"/>
  <c r="EV10" i="22" s="1"/>
  <c r="EW10" i="22" s="1"/>
  <c r="EX10" i="22" s="1"/>
  <c r="EY10" i="22" s="1"/>
  <c r="EZ10" i="22" s="1"/>
  <c r="FA10" i="22" s="1"/>
  <c r="FB10" i="22" s="1"/>
  <c r="FC10" i="22" s="1"/>
  <c r="FD10" i="22" s="1"/>
  <c r="FE10" i="22" s="1"/>
  <c r="FF10" i="22" s="1"/>
  <c r="FG10" i="22" s="1"/>
  <c r="FH10" i="22" s="1"/>
  <c r="FI10" i="22" s="1"/>
  <c r="FJ10" i="22" s="1"/>
  <c r="FK10" i="22" s="1"/>
  <c r="FL10" i="22" s="1"/>
  <c r="FM10" i="22" s="1"/>
  <c r="FN10" i="22" s="1"/>
  <c r="FO10" i="22" s="1"/>
  <c r="FP10" i="22" s="1"/>
  <c r="FQ10" i="22" s="1"/>
  <c r="FR10" i="22" s="1"/>
  <c r="FS10" i="22" s="1"/>
  <c r="FT10" i="22" s="1"/>
  <c r="FU10" i="22" s="1"/>
  <c r="EA24" i="22"/>
  <c r="EE24" i="22"/>
  <c r="EF24" i="22" s="1"/>
  <c r="EG24" i="22" s="1"/>
  <c r="EH24" i="22" s="1"/>
  <c r="EI24" i="22" s="1"/>
  <c r="EJ24" i="22" s="1"/>
  <c r="EK24" i="22" s="1"/>
  <c r="EL24" i="22" s="1"/>
  <c r="EM24" i="22" s="1"/>
  <c r="EN24" i="22" s="1"/>
  <c r="EO24" i="22" s="1"/>
  <c r="EP24" i="22" s="1"/>
  <c r="EQ24" i="22" s="1"/>
  <c r="ER24" i="22" s="1"/>
  <c r="ES24" i="22" s="1"/>
  <c r="ET24" i="22" s="1"/>
  <c r="EU24" i="22" s="1"/>
  <c r="EV24" i="22" s="1"/>
  <c r="EW24" i="22" s="1"/>
  <c r="EX24" i="22" s="1"/>
  <c r="EY24" i="22" s="1"/>
  <c r="EZ24" i="22" s="1"/>
  <c r="FA24" i="22" s="1"/>
  <c r="FB24" i="22" s="1"/>
  <c r="FC24" i="22" s="1"/>
  <c r="FD24" i="22" s="1"/>
  <c r="FE24" i="22" s="1"/>
  <c r="FF24" i="22" s="1"/>
  <c r="FG24" i="22" s="1"/>
  <c r="FH24" i="22" s="1"/>
  <c r="FI24" i="22" s="1"/>
  <c r="FJ24" i="22" s="1"/>
  <c r="FK24" i="22" s="1"/>
  <c r="FL24" i="22" s="1"/>
  <c r="FM24" i="22" s="1"/>
  <c r="FN24" i="22" s="1"/>
  <c r="FO24" i="22" s="1"/>
  <c r="FP24" i="22" s="1"/>
  <c r="FQ24" i="22" s="1"/>
  <c r="FR24" i="22" s="1"/>
  <c r="FS24" i="22" s="1"/>
  <c r="FT24" i="22" s="1"/>
  <c r="FU24" i="22" s="1"/>
  <c r="GD28" i="22"/>
  <c r="FW9" i="22"/>
  <c r="FZ8" i="22"/>
  <c r="FY8" i="22"/>
  <c r="GD14" i="22"/>
  <c r="GD12" i="22"/>
  <c r="GD18" i="22"/>
  <c r="FZ7" i="22"/>
  <c r="GA7" i="22" s="1"/>
  <c r="GC7" i="22" l="1"/>
  <c r="GA8" i="22"/>
  <c r="FY9" i="22"/>
  <c r="FW10" i="22"/>
  <c r="FZ9" i="22"/>
  <c r="G2" i="17"/>
  <c r="H2" i="17"/>
  <c r="I2" i="17"/>
  <c r="GC8" i="22" l="1"/>
  <c r="GA9" i="22"/>
  <c r="FW11" i="22"/>
  <c r="FY10" i="22"/>
  <c r="FZ10" i="22"/>
  <c r="A1" i="14" a="1"/>
  <c r="A1" i="14" s="1"/>
  <c r="GC9" i="22" l="1"/>
  <c r="GA10" i="22"/>
  <c r="FW12" i="22"/>
  <c r="FZ11" i="22"/>
  <c r="FY11" i="22"/>
  <c r="DT29" i="14"/>
  <c r="X29" i="14"/>
  <c r="Y29" i="14" s="1" a="1"/>
  <c r="Y29" i="14" s="1"/>
  <c r="V29" i="14"/>
  <c r="U29" i="14"/>
  <c r="BW29" i="14" s="1"/>
  <c r="T29" i="14"/>
  <c r="O29" i="14"/>
  <c r="Z29" i="14" s="1"/>
  <c r="H29" i="14"/>
  <c r="DT28" i="14"/>
  <c r="X28" i="14"/>
  <c r="Y28" i="14" s="1" a="1"/>
  <c r="Y28" i="14" s="1"/>
  <c r="V28" i="14"/>
  <c r="U28" i="14"/>
  <c r="BW28" i="14" s="1"/>
  <c r="T28" i="14"/>
  <c r="O28" i="14"/>
  <c r="Z28" i="14" s="1"/>
  <c r="H28" i="14"/>
  <c r="DT27" i="14"/>
  <c r="X27" i="14"/>
  <c r="AB27" i="14" s="1"/>
  <c r="V27" i="14"/>
  <c r="U27" i="14"/>
  <c r="BW27" i="14" s="1"/>
  <c r="T27" i="14"/>
  <c r="O27" i="14"/>
  <c r="Z27" i="14" s="1"/>
  <c r="H27" i="14"/>
  <c r="DT26" i="14"/>
  <c r="X26" i="14"/>
  <c r="Y26" i="14" s="1" a="1"/>
  <c r="Y26" i="14" s="1"/>
  <c r="V26" i="14"/>
  <c r="U26" i="14"/>
  <c r="BW26" i="14" s="1"/>
  <c r="T26" i="14"/>
  <c r="O26" i="14"/>
  <c r="Z26" i="14" s="1"/>
  <c r="H26" i="14"/>
  <c r="DT25" i="14"/>
  <c r="X25" i="14"/>
  <c r="Y25" i="14" s="1" a="1"/>
  <c r="Y25" i="14" s="1"/>
  <c r="V25" i="14"/>
  <c r="U25" i="14"/>
  <c r="BW25" i="14" s="1"/>
  <c r="T25" i="14"/>
  <c r="O25" i="14"/>
  <c r="Z25" i="14" s="1"/>
  <c r="H25" i="14"/>
  <c r="DT24" i="14"/>
  <c r="AH24" i="14"/>
  <c r="AI24" i="14" s="1"/>
  <c r="AJ24" i="14" s="1"/>
  <c r="AK24" i="14" s="1"/>
  <c r="X24" i="14"/>
  <c r="Y24" i="14" s="1" a="1"/>
  <c r="Y24" i="14" s="1"/>
  <c r="V24" i="14"/>
  <c r="U24" i="14"/>
  <c r="T24" i="14"/>
  <c r="O24" i="14"/>
  <c r="Z24" i="14" s="1"/>
  <c r="H24" i="14"/>
  <c r="DT23" i="14"/>
  <c r="DR23" i="14"/>
  <c r="X23" i="14"/>
  <c r="Y23" i="14" s="1" a="1"/>
  <c r="Y23" i="14" s="1"/>
  <c r="V23" i="14"/>
  <c r="U23" i="14"/>
  <c r="BW23" i="14" s="1"/>
  <c r="T23" i="14"/>
  <c r="O23" i="14"/>
  <c r="Z23" i="14" s="1"/>
  <c r="H23" i="14"/>
  <c r="DT22" i="14"/>
  <c r="X22" i="14"/>
  <c r="Y22" i="14" s="1" a="1"/>
  <c r="Y22" i="14" s="1"/>
  <c r="V22" i="14"/>
  <c r="U22" i="14"/>
  <c r="BW22" i="14" s="1"/>
  <c r="T22" i="14"/>
  <c r="O22" i="14"/>
  <c r="Z22" i="14" s="1"/>
  <c r="H22" i="14"/>
  <c r="DT21" i="14"/>
  <c r="X21" i="14"/>
  <c r="AB21" i="14" s="1"/>
  <c r="V21" i="14"/>
  <c r="U21" i="14"/>
  <c r="BW21" i="14" s="1"/>
  <c r="T21" i="14"/>
  <c r="O21" i="14"/>
  <c r="Z21" i="14" s="1"/>
  <c r="H21" i="14"/>
  <c r="DT20" i="14"/>
  <c r="X20" i="14"/>
  <c r="AB20" i="14" s="1"/>
  <c r="V20" i="14"/>
  <c r="U20" i="14"/>
  <c r="BW20" i="14" s="1"/>
  <c r="T20" i="14"/>
  <c r="O20" i="14"/>
  <c r="Z20" i="14" s="1"/>
  <c r="H20" i="14"/>
  <c r="CC20" i="14" s="1"/>
  <c r="DT19" i="14"/>
  <c r="Z19" i="14"/>
  <c r="X19" i="14"/>
  <c r="AB19" i="14" s="1"/>
  <c r="V19" i="14"/>
  <c r="U19" i="14"/>
  <c r="BW19" i="14" s="1"/>
  <c r="T19" i="14"/>
  <c r="H19" i="14"/>
  <c r="DT18" i="14"/>
  <c r="CC18" i="14"/>
  <c r="AI18" i="14"/>
  <c r="X18" i="14"/>
  <c r="AB18" i="14" s="1"/>
  <c r="V18" i="14"/>
  <c r="U18" i="14"/>
  <c r="T18" i="14"/>
  <c r="O18" i="14"/>
  <c r="Z18" i="14" s="1"/>
  <c r="H18" i="14"/>
  <c r="DT17" i="14"/>
  <c r="DR17" i="14"/>
  <c r="E16" i="12" s="1"/>
  <c r="Z17" i="14"/>
  <c r="X17" i="14"/>
  <c r="Y17" i="14" s="1" a="1"/>
  <c r="Y17" i="14" s="1"/>
  <c r="V17" i="14"/>
  <c r="U17" i="14"/>
  <c r="BW17" i="14" s="1"/>
  <c r="T17" i="14"/>
  <c r="H17" i="14"/>
  <c r="P17" i="14" s="1"/>
  <c r="DT16" i="14"/>
  <c r="DR16" i="14"/>
  <c r="DQ16" i="14" s="1"/>
  <c r="Z16" i="14"/>
  <c r="X16" i="14"/>
  <c r="Y16" i="14" s="1" a="1"/>
  <c r="Y16" i="14" s="1"/>
  <c r="U16" i="14"/>
  <c r="BW16" i="14" s="1"/>
  <c r="T16" i="14"/>
  <c r="I16" i="14"/>
  <c r="V16" i="14" s="1"/>
  <c r="H16" i="14"/>
  <c r="DT15" i="14"/>
  <c r="DR15" i="14"/>
  <c r="E14" i="12" s="1"/>
  <c r="Z15" i="14"/>
  <c r="X15" i="14"/>
  <c r="U15" i="14"/>
  <c r="BW15" i="14" s="1"/>
  <c r="T15" i="14"/>
  <c r="I15" i="14"/>
  <c r="V15" i="14" s="1"/>
  <c r="H15" i="14"/>
  <c r="DT14" i="14"/>
  <c r="DR14" i="14"/>
  <c r="E13" i="12" s="1"/>
  <c r="Z14" i="14"/>
  <c r="X14" i="14"/>
  <c r="U14" i="14"/>
  <c r="BW14" i="14" s="1"/>
  <c r="T14" i="14"/>
  <c r="H14" i="14"/>
  <c r="F14" i="14"/>
  <c r="L15" i="17" s="1"/>
  <c r="DT13" i="14"/>
  <c r="DR13" i="14"/>
  <c r="Z13" i="14"/>
  <c r="X13" i="14"/>
  <c r="Y13" i="14" s="1" a="1"/>
  <c r="Y13" i="14" s="1"/>
  <c r="U13" i="14"/>
  <c r="BW13" i="14" s="1"/>
  <c r="T13" i="14"/>
  <c r="H13" i="14"/>
  <c r="F13" i="14"/>
  <c r="L24" i="17" s="1"/>
  <c r="DT12" i="14"/>
  <c r="CV12" i="14"/>
  <c r="Z12" i="14"/>
  <c r="X12" i="14"/>
  <c r="Y12" i="14" s="1" a="1"/>
  <c r="Y12" i="14" s="1"/>
  <c r="V12" i="14"/>
  <c r="U12" i="14"/>
  <c r="T12" i="14"/>
  <c r="H12" i="14"/>
  <c r="CT12" i="14" s="1"/>
  <c r="F12" i="14"/>
  <c r="L8" i="17" s="1"/>
  <c r="DT11" i="14"/>
  <c r="Z11" i="14"/>
  <c r="X11" i="14"/>
  <c r="Y11" i="14" s="1" a="1"/>
  <c r="Y11" i="14" s="1"/>
  <c r="V11" i="14"/>
  <c r="U11" i="14"/>
  <c r="BW11" i="14" s="1"/>
  <c r="T11" i="14"/>
  <c r="H11" i="14"/>
  <c r="CL11" i="14" s="1"/>
  <c r="F11" i="14"/>
  <c r="L7" i="17" s="1"/>
  <c r="AG10" i="14"/>
  <c r="AH10" i="14" s="1"/>
  <c r="AI10" i="14" s="1"/>
  <c r="AJ10" i="14" s="1"/>
  <c r="AK10" i="14" s="1"/>
  <c r="AL10" i="14" s="1"/>
  <c r="AM10" i="14" s="1"/>
  <c r="AN10" i="14" s="1"/>
  <c r="AO10" i="14" s="1"/>
  <c r="AP10" i="14" s="1"/>
  <c r="AQ10" i="14" s="1"/>
  <c r="AR10" i="14" s="1"/>
  <c r="AS10" i="14" s="1"/>
  <c r="AT10" i="14" s="1"/>
  <c r="AU10" i="14" s="1"/>
  <c r="AV10" i="14" s="1"/>
  <c r="AW10" i="14" s="1"/>
  <c r="Z10" i="14"/>
  <c r="X10" i="14"/>
  <c r="Y10" i="14" s="1" a="1"/>
  <c r="Y10" i="14" s="1"/>
  <c r="V10" i="14"/>
  <c r="U10" i="14"/>
  <c r="T10" i="14"/>
  <c r="H10" i="14"/>
  <c r="F10" i="14"/>
  <c r="L16" i="17" s="1"/>
  <c r="DT9" i="14"/>
  <c r="Z9" i="14"/>
  <c r="X9" i="14"/>
  <c r="Y9" i="14" s="1" a="1"/>
  <c r="Y9" i="14" s="1"/>
  <c r="V9" i="14"/>
  <c r="U9" i="14"/>
  <c r="BW9" i="14" s="1"/>
  <c r="T9" i="14"/>
  <c r="H9" i="14"/>
  <c r="F9" i="14"/>
  <c r="L30" i="17" s="1"/>
  <c r="DT8" i="14"/>
  <c r="Z8" i="14"/>
  <c r="X8" i="14"/>
  <c r="V8" i="14"/>
  <c r="U8" i="14"/>
  <c r="BW8" i="14" s="1"/>
  <c r="T8" i="14"/>
  <c r="H8" i="14"/>
  <c r="F8" i="14"/>
  <c r="L29" i="17" s="1"/>
  <c r="DT7" i="14"/>
  <c r="X7" i="14"/>
  <c r="AB7" i="14" s="1"/>
  <c r="U7" i="14"/>
  <c r="BW7" i="14" s="1"/>
  <c r="T7" i="14"/>
  <c r="H7" i="14"/>
  <c r="F7" i="14"/>
  <c r="L28" i="17" s="1"/>
  <c r="DT6" i="14"/>
  <c r="Z6" i="14"/>
  <c r="X6" i="14"/>
  <c r="V6" i="14"/>
  <c r="U6" i="14"/>
  <c r="BW6" i="14" s="1"/>
  <c r="T6" i="14"/>
  <c r="H6" i="14"/>
  <c r="F6" i="14"/>
  <c r="L19" i="17" s="1"/>
  <c r="DT5" i="14"/>
  <c r="Z5" i="14"/>
  <c r="X5" i="14"/>
  <c r="Y5" i="14" s="1" a="1"/>
  <c r="Y5" i="14" s="1"/>
  <c r="V5" i="14"/>
  <c r="U5" i="14"/>
  <c r="BW5" i="14" s="1"/>
  <c r="T5" i="14"/>
  <c r="H5" i="14"/>
  <c r="F5" i="14"/>
  <c r="L22" i="17" s="1"/>
  <c r="FM4" i="14"/>
  <c r="FO4" i="14" s="1"/>
  <c r="DT4" i="14"/>
  <c r="AI4" i="14"/>
  <c r="AJ4" i="14" s="1"/>
  <c r="AK4" i="14" s="1"/>
  <c r="AL4" i="14" s="1"/>
  <c r="AM4" i="14" s="1"/>
  <c r="Z4" i="14"/>
  <c r="X4" i="14"/>
  <c r="Y4" i="14" s="1" a="1"/>
  <c r="Y4" i="14" s="1"/>
  <c r="V4" i="14"/>
  <c r="U4" i="14"/>
  <c r="T4" i="14"/>
  <c r="H4" i="14"/>
  <c r="CD4" i="14" s="1"/>
  <c r="F4" i="14"/>
  <c r="L6" i="17" s="1"/>
  <c r="FO3" i="14"/>
  <c r="DT3" i="14"/>
  <c r="CO3" i="14"/>
  <c r="Z3" i="14"/>
  <c r="X3" i="14"/>
  <c r="Y3" i="14" s="1" a="1"/>
  <c r="Y3" i="14" s="1"/>
  <c r="V3" i="14"/>
  <c r="U3" i="14"/>
  <c r="BW3" i="14" s="1"/>
  <c r="T3" i="14"/>
  <c r="H3" i="14"/>
  <c r="P3" i="14" s="1"/>
  <c r="F3" i="14"/>
  <c r="L23" i="17" s="1"/>
  <c r="FC2" i="14"/>
  <c r="FD2" i="14" s="1"/>
  <c r="FE2" i="14" s="1"/>
  <c r="FF2" i="14" s="1"/>
  <c r="FG2" i="14" s="1"/>
  <c r="FH2" i="14" s="1"/>
  <c r="FI2" i="14" s="1"/>
  <c r="FJ2" i="14" s="1"/>
  <c r="FK2" i="14" s="1"/>
  <c r="CT2" i="14"/>
  <c r="CU2" i="14" s="1"/>
  <c r="CV2" i="14" s="1"/>
  <c r="CW2" i="14" s="1"/>
  <c r="CX2" i="14" s="1"/>
  <c r="CY2" i="14" s="1"/>
  <c r="CZ2" i="14" s="1"/>
  <c r="DA2" i="14" s="1"/>
  <c r="DB2" i="14" s="1"/>
  <c r="DC2" i="14" s="1"/>
  <c r="DD2" i="14" s="1"/>
  <c r="DE2" i="14" s="1"/>
  <c r="DF2" i="14" s="1"/>
  <c r="DG2" i="14" s="1"/>
  <c r="DH2" i="14" s="1"/>
  <c r="DI2" i="14" s="1"/>
  <c r="DJ2" i="14" s="1"/>
  <c r="DK2" i="14" s="1"/>
  <c r="DL2" i="14" s="1"/>
  <c r="DM2" i="14" s="1"/>
  <c r="DN2" i="14" s="1"/>
  <c r="DO2" i="14" s="1"/>
  <c r="DP2" i="14" s="1"/>
  <c r="AZ2" i="14"/>
  <c r="BA2" i="14" s="1"/>
  <c r="BB2" i="14" s="1"/>
  <c r="BC2" i="14" s="1"/>
  <c r="BD2" i="14" s="1"/>
  <c r="BE2" i="14" s="1"/>
  <c r="BF2" i="14" s="1"/>
  <c r="BG2" i="14" s="1"/>
  <c r="BH2" i="14" s="1"/>
  <c r="BI2" i="14" s="1"/>
  <c r="BJ2" i="14" s="1"/>
  <c r="BK2" i="14" s="1"/>
  <c r="BL2" i="14" s="1"/>
  <c r="BM2" i="14" s="1"/>
  <c r="BN2" i="14" s="1"/>
  <c r="BO2" i="14" s="1"/>
  <c r="BP2" i="14" s="1"/>
  <c r="BQ2" i="14" s="1"/>
  <c r="BR2" i="14" s="1"/>
  <c r="BS2" i="14" s="1"/>
  <c r="BT2" i="14" s="1"/>
  <c r="BU2" i="14" s="1"/>
  <c r="BV2" i="14" s="1"/>
  <c r="L10" i="22" l="1"/>
  <c r="GA11" i="22"/>
  <c r="FY12" i="22"/>
  <c r="FW13" i="22"/>
  <c r="CN9" i="14"/>
  <c r="I13" i="14"/>
  <c r="V13" i="14" s="1"/>
  <c r="P13" i="14"/>
  <c r="AA13" i="14"/>
  <c r="BY10" i="14"/>
  <c r="DT10" i="14" s="1"/>
  <c r="F1" i="14"/>
  <c r="E12" i="12"/>
  <c r="E15" i="12"/>
  <c r="P14" i="14"/>
  <c r="AA14" i="14"/>
  <c r="DU23" i="14"/>
  <c r="DV23" i="14" s="1"/>
  <c r="DW23" i="14" s="1"/>
  <c r="DX23" i="14" s="1"/>
  <c r="DY23" i="14" s="1"/>
  <c r="DZ23" i="14" s="1"/>
  <c r="EA23" i="14" s="1"/>
  <c r="EB23" i="14" s="1"/>
  <c r="EC23" i="14" s="1"/>
  <c r="ED23" i="14" s="1"/>
  <c r="EE23" i="14" s="1"/>
  <c r="EF23" i="14" s="1"/>
  <c r="EG23" i="14" s="1"/>
  <c r="EH23" i="14" s="1"/>
  <c r="EI23" i="14" s="1"/>
  <c r="EJ23" i="14" s="1"/>
  <c r="EK23" i="14" s="1"/>
  <c r="EL23" i="14" s="1"/>
  <c r="EM23" i="14" s="1"/>
  <c r="EN23" i="14" s="1"/>
  <c r="EO23" i="14" s="1"/>
  <c r="EP23" i="14" s="1"/>
  <c r="EQ23" i="14" s="1"/>
  <c r="ER23" i="14" s="1"/>
  <c r="ES23" i="14" s="1"/>
  <c r="ET23" i="14" s="1"/>
  <c r="EU23" i="14" s="1"/>
  <c r="EV23" i="14" s="1"/>
  <c r="EW23" i="14" s="1"/>
  <c r="EX23" i="14" s="1"/>
  <c r="EY23" i="14" s="1"/>
  <c r="EZ23" i="14" s="1"/>
  <c r="FA23" i="14" s="1"/>
  <c r="FB23" i="14" s="1"/>
  <c r="FC23" i="14" s="1"/>
  <c r="FD23" i="14" s="1"/>
  <c r="FE23" i="14" s="1"/>
  <c r="FF23" i="14" s="1"/>
  <c r="FG23" i="14" s="1"/>
  <c r="FH23" i="14" s="1"/>
  <c r="FI23" i="14" s="1"/>
  <c r="FJ23" i="14" s="1"/>
  <c r="FK23" i="14" s="1"/>
  <c r="E22" i="12"/>
  <c r="DQ17" i="14"/>
  <c r="CK24" i="14"/>
  <c r="BZ25" i="14"/>
  <c r="DR25" i="14" s="1"/>
  <c r="CF24" i="14"/>
  <c r="CD24" i="14"/>
  <c r="CE24" i="14"/>
  <c r="CG24" i="14"/>
  <c r="CH24" i="14"/>
  <c r="CA24" i="14"/>
  <c r="CI24" i="14"/>
  <c r="CB24" i="14"/>
  <c r="CJ24" i="14"/>
  <c r="CC24" i="14"/>
  <c r="CM9" i="14"/>
  <c r="AA29" i="14"/>
  <c r="FR29" i="14" s="1"/>
  <c r="AA3" i="14"/>
  <c r="AC3" i="14" s="1"/>
  <c r="BZ21" i="14"/>
  <c r="DR21" i="14" s="1"/>
  <c r="E20" i="12" s="1"/>
  <c r="AB22" i="14"/>
  <c r="DU16" i="14"/>
  <c r="DV16" i="14" s="1"/>
  <c r="DW16" i="14" s="1"/>
  <c r="DX16" i="14" s="1"/>
  <c r="DY16" i="14" s="1"/>
  <c r="DZ16" i="14" s="1"/>
  <c r="EA16" i="14" s="1"/>
  <c r="EB16" i="14" s="1"/>
  <c r="EC16" i="14" s="1"/>
  <c r="ED16" i="14" s="1"/>
  <c r="EE16" i="14" s="1"/>
  <c r="EF16" i="14" s="1"/>
  <c r="EG16" i="14" s="1"/>
  <c r="EH16" i="14" s="1"/>
  <c r="EI16" i="14" s="1"/>
  <c r="EJ16" i="14" s="1"/>
  <c r="EK16" i="14" s="1"/>
  <c r="EL16" i="14" s="1"/>
  <c r="EM16" i="14" s="1"/>
  <c r="EN16" i="14" s="1"/>
  <c r="EO16" i="14" s="1"/>
  <c r="EP16" i="14" s="1"/>
  <c r="EQ16" i="14" s="1"/>
  <c r="ER16" i="14" s="1"/>
  <c r="ES16" i="14" s="1"/>
  <c r="ET16" i="14" s="1"/>
  <c r="EU16" i="14" s="1"/>
  <c r="EV16" i="14" s="1"/>
  <c r="EW16" i="14" s="1"/>
  <c r="EX16" i="14" s="1"/>
  <c r="EY16" i="14" s="1"/>
  <c r="EZ16" i="14" s="1"/>
  <c r="FA16" i="14" s="1"/>
  <c r="FB16" i="14" s="1"/>
  <c r="FC16" i="14" s="1"/>
  <c r="FD16" i="14" s="1"/>
  <c r="FE16" i="14" s="1"/>
  <c r="FF16" i="14" s="1"/>
  <c r="FG16" i="14" s="1"/>
  <c r="FH16" i="14" s="1"/>
  <c r="FI16" i="14" s="1"/>
  <c r="FJ16" i="14" s="1"/>
  <c r="FK16" i="14" s="1"/>
  <c r="DU15" i="14"/>
  <c r="DV15" i="14" s="1"/>
  <c r="DW15" i="14" s="1"/>
  <c r="DX15" i="14" s="1"/>
  <c r="DY15" i="14" s="1"/>
  <c r="DZ15" i="14" s="1"/>
  <c r="EA15" i="14" s="1"/>
  <c r="EB15" i="14" s="1"/>
  <c r="EC15" i="14" s="1"/>
  <c r="ED15" i="14" s="1"/>
  <c r="EE15" i="14" s="1"/>
  <c r="EF15" i="14" s="1"/>
  <c r="EG15" i="14" s="1"/>
  <c r="EH15" i="14" s="1"/>
  <c r="EI15" i="14" s="1"/>
  <c r="EJ15" i="14" s="1"/>
  <c r="EK15" i="14" s="1"/>
  <c r="EL15" i="14" s="1"/>
  <c r="EM15" i="14" s="1"/>
  <c r="EN15" i="14" s="1"/>
  <c r="EO15" i="14" s="1"/>
  <c r="EP15" i="14" s="1"/>
  <c r="EQ15" i="14" s="1"/>
  <c r="ER15" i="14" s="1"/>
  <c r="ES15" i="14" s="1"/>
  <c r="ET15" i="14" s="1"/>
  <c r="EU15" i="14" s="1"/>
  <c r="EV15" i="14" s="1"/>
  <c r="EW15" i="14" s="1"/>
  <c r="EX15" i="14" s="1"/>
  <c r="EY15" i="14" s="1"/>
  <c r="EZ15" i="14" s="1"/>
  <c r="FA15" i="14" s="1"/>
  <c r="FB15" i="14" s="1"/>
  <c r="FC15" i="14" s="1"/>
  <c r="FD15" i="14" s="1"/>
  <c r="FE15" i="14" s="1"/>
  <c r="FF15" i="14" s="1"/>
  <c r="FG15" i="14" s="1"/>
  <c r="FH15" i="14" s="1"/>
  <c r="FI15" i="14" s="1"/>
  <c r="FJ15" i="14" s="1"/>
  <c r="FK15" i="14" s="1"/>
  <c r="Y20" i="14" a="1"/>
  <c r="Y20" i="14" s="1"/>
  <c r="FM5" i="14"/>
  <c r="FO5" i="14" s="1"/>
  <c r="AB11" i="14"/>
  <c r="BZ26" i="14"/>
  <c r="DR26" i="14" s="1"/>
  <c r="AB26" i="14"/>
  <c r="BW18" i="14"/>
  <c r="Y21" i="14" a="1"/>
  <c r="Y21" i="14" s="1"/>
  <c r="BZ22" i="14"/>
  <c r="DR22" i="14" s="1"/>
  <c r="DQ15" i="14"/>
  <c r="DU17" i="14"/>
  <c r="DV17" i="14" s="1"/>
  <c r="DW17" i="14" s="1"/>
  <c r="DX17" i="14" s="1"/>
  <c r="DY17" i="14" s="1"/>
  <c r="DZ17" i="14" s="1"/>
  <c r="EA17" i="14" s="1"/>
  <c r="EB17" i="14" s="1"/>
  <c r="EC17" i="14" s="1"/>
  <c r="ED17" i="14" s="1"/>
  <c r="EE17" i="14" s="1"/>
  <c r="EF17" i="14" s="1"/>
  <c r="EG17" i="14" s="1"/>
  <c r="EH17" i="14" s="1"/>
  <c r="EI17" i="14" s="1"/>
  <c r="EJ17" i="14" s="1"/>
  <c r="EK17" i="14" s="1"/>
  <c r="EL17" i="14" s="1"/>
  <c r="EM17" i="14" s="1"/>
  <c r="EN17" i="14" s="1"/>
  <c r="EO17" i="14" s="1"/>
  <c r="EP17" i="14" s="1"/>
  <c r="EQ17" i="14" s="1"/>
  <c r="ER17" i="14" s="1"/>
  <c r="ES17" i="14" s="1"/>
  <c r="ET17" i="14" s="1"/>
  <c r="EU17" i="14" s="1"/>
  <c r="EV17" i="14" s="1"/>
  <c r="EW17" i="14" s="1"/>
  <c r="EX17" i="14" s="1"/>
  <c r="EY17" i="14" s="1"/>
  <c r="EZ17" i="14" s="1"/>
  <c r="FA17" i="14" s="1"/>
  <c r="FB17" i="14" s="1"/>
  <c r="FC17" i="14" s="1"/>
  <c r="FD17" i="14" s="1"/>
  <c r="FE17" i="14" s="1"/>
  <c r="FF17" i="14" s="1"/>
  <c r="FG17" i="14" s="1"/>
  <c r="FH17" i="14" s="1"/>
  <c r="FI17" i="14" s="1"/>
  <c r="FJ17" i="14" s="1"/>
  <c r="FK17" i="14" s="1"/>
  <c r="AB9" i="14"/>
  <c r="Y18" i="14" a="1"/>
  <c r="Y18" i="14" s="1"/>
  <c r="AB28" i="14"/>
  <c r="AB29" i="14"/>
  <c r="CG4" i="14"/>
  <c r="AB10" i="14"/>
  <c r="P9" i="14"/>
  <c r="AA9" i="14"/>
  <c r="AB12" i="14"/>
  <c r="AB23" i="14"/>
  <c r="AB25" i="14"/>
  <c r="P11" i="14"/>
  <c r="Y19" i="14" a="1"/>
  <c r="Y19" i="14" s="1"/>
  <c r="Y27" i="14" a="1"/>
  <c r="Y27" i="14" s="1"/>
  <c r="DQ13" i="14"/>
  <c r="AA27" i="14"/>
  <c r="FR27" i="14" s="1"/>
  <c r="CE4" i="14"/>
  <c r="CF4" i="14"/>
  <c r="AB5" i="14"/>
  <c r="AA17" i="14"/>
  <c r="AB4" i="14"/>
  <c r="AA8" i="14"/>
  <c r="P8" i="14"/>
  <c r="AB3" i="14"/>
  <c r="DD7" i="14"/>
  <c r="DR7" i="14" s="1"/>
  <c r="P7" i="14"/>
  <c r="Y6" i="14" a="1"/>
  <c r="Y6" i="14" s="1"/>
  <c r="AB6" i="14" s="1"/>
  <c r="BW4" i="14"/>
  <c r="CA4" i="14"/>
  <c r="Y7" i="14" a="1"/>
  <c r="Y7" i="14" s="1"/>
  <c r="Y8" i="14" a="1"/>
  <c r="Y8" i="14" s="1"/>
  <c r="AB8" i="14" s="1"/>
  <c r="CH11" i="14"/>
  <c r="CJ11" i="14"/>
  <c r="CI11" i="14"/>
  <c r="AA11" i="14"/>
  <c r="CK11" i="14"/>
  <c r="CG11" i="14"/>
  <c r="AA7" i="14"/>
  <c r="DR3" i="14"/>
  <c r="E2" i="12" s="1"/>
  <c r="CB4" i="14"/>
  <c r="CC4" i="14"/>
  <c r="AA6" i="14"/>
  <c r="P6" i="14"/>
  <c r="BW10" i="14"/>
  <c r="CQ12" i="14"/>
  <c r="CS12" i="14"/>
  <c r="CR12" i="14"/>
  <c r="Y14" i="14" a="1"/>
  <c r="Y14" i="14" s="1"/>
  <c r="AB14" i="14" s="1"/>
  <c r="AL24" i="14"/>
  <c r="P12" i="14"/>
  <c r="AA12" i="14"/>
  <c r="BW12" i="14"/>
  <c r="CU12" i="14"/>
  <c r="DU14" i="14"/>
  <c r="DU13" i="14"/>
  <c r="AB17" i="14"/>
  <c r="I14" i="14"/>
  <c r="AA18" i="14"/>
  <c r="P18" i="14"/>
  <c r="BZ28" i="14"/>
  <c r="AA28" i="14"/>
  <c r="P28" i="14"/>
  <c r="Y15" i="14" a="1"/>
  <c r="Y15" i="14" s="1"/>
  <c r="AB15" i="14" s="1"/>
  <c r="CD18" i="14"/>
  <c r="DQ23" i="14"/>
  <c r="AB24" i="14"/>
  <c r="BZ27" i="14"/>
  <c r="BZ29" i="14"/>
  <c r="P27" i="14"/>
  <c r="P29" i="14"/>
  <c r="GC11" i="22" l="1"/>
  <c r="L11" i="22"/>
  <c r="FY13" i="22"/>
  <c r="FW14" i="22"/>
  <c r="FZ13" i="22"/>
  <c r="L2" i="17"/>
  <c r="DR10" i="14"/>
  <c r="DU10" i="14" s="1"/>
  <c r="DV10" i="14" s="1"/>
  <c r="DW10" i="14" s="1"/>
  <c r="DX10" i="14" s="1"/>
  <c r="DY10" i="14" s="1"/>
  <c r="DZ10" i="14" s="1"/>
  <c r="EA10" i="14" s="1"/>
  <c r="EB10" i="14" s="1"/>
  <c r="EC10" i="14" s="1"/>
  <c r="ED10" i="14" s="1"/>
  <c r="EE10" i="14" s="1"/>
  <c r="EF10" i="14" s="1"/>
  <c r="EG10" i="14" s="1"/>
  <c r="EH10" i="14" s="1"/>
  <c r="EI10" i="14" s="1"/>
  <c r="EJ10" i="14" s="1"/>
  <c r="EK10" i="14" s="1"/>
  <c r="EL10" i="14" s="1"/>
  <c r="EM10" i="14" s="1"/>
  <c r="EN10" i="14" s="1"/>
  <c r="EO10" i="14" s="1"/>
  <c r="EP10" i="14" s="1"/>
  <c r="EQ10" i="14" s="1"/>
  <c r="ER10" i="14" s="1"/>
  <c r="ES10" i="14" s="1"/>
  <c r="ET10" i="14" s="1"/>
  <c r="EU10" i="14" s="1"/>
  <c r="EV10" i="14" s="1"/>
  <c r="EW10" i="14" s="1"/>
  <c r="EX10" i="14" s="1"/>
  <c r="EY10" i="14" s="1"/>
  <c r="EZ10" i="14" s="1"/>
  <c r="FA10" i="14" s="1"/>
  <c r="FB10" i="14" s="1"/>
  <c r="FC10" i="14" s="1"/>
  <c r="FD10" i="14" s="1"/>
  <c r="FE10" i="14" s="1"/>
  <c r="FF10" i="14" s="1"/>
  <c r="FG10" i="14" s="1"/>
  <c r="FH10" i="14" s="1"/>
  <c r="FI10" i="14" s="1"/>
  <c r="FJ10" i="14" s="1"/>
  <c r="FK10" i="14" s="1"/>
  <c r="B14" i="19"/>
  <c r="DR9" i="14"/>
  <c r="DU9" i="14" s="1"/>
  <c r="DV9" i="14" s="1"/>
  <c r="DW9" i="14" s="1"/>
  <c r="DX9" i="14" s="1"/>
  <c r="DY9" i="14" s="1"/>
  <c r="DZ9" i="14" s="1"/>
  <c r="EA9" i="14" s="1"/>
  <c r="EB9" i="14" s="1"/>
  <c r="EC9" i="14" s="1"/>
  <c r="ED9" i="14" s="1"/>
  <c r="EE9" i="14" s="1"/>
  <c r="EF9" i="14" s="1"/>
  <c r="EG9" i="14" s="1"/>
  <c r="EH9" i="14" s="1"/>
  <c r="EI9" i="14" s="1"/>
  <c r="EJ9" i="14" s="1"/>
  <c r="EK9" i="14" s="1"/>
  <c r="EL9" i="14" s="1"/>
  <c r="EM9" i="14" s="1"/>
  <c r="EN9" i="14" s="1"/>
  <c r="EO9" i="14" s="1"/>
  <c r="EP9" i="14" s="1"/>
  <c r="EQ9" i="14" s="1"/>
  <c r="ER9" i="14" s="1"/>
  <c r="ES9" i="14" s="1"/>
  <c r="ET9" i="14" s="1"/>
  <c r="EU9" i="14" s="1"/>
  <c r="EV9" i="14" s="1"/>
  <c r="EW9" i="14" s="1"/>
  <c r="EX9" i="14" s="1"/>
  <c r="EY9" i="14" s="1"/>
  <c r="EZ9" i="14" s="1"/>
  <c r="FA9" i="14" s="1"/>
  <c r="FB9" i="14" s="1"/>
  <c r="FC9" i="14" s="1"/>
  <c r="FD9" i="14" s="1"/>
  <c r="FE9" i="14" s="1"/>
  <c r="FF9" i="14" s="1"/>
  <c r="FG9" i="14" s="1"/>
  <c r="FH9" i="14" s="1"/>
  <c r="FI9" i="14" s="1"/>
  <c r="FJ9" i="14" s="1"/>
  <c r="FK9" i="14" s="1"/>
  <c r="FT27" i="14"/>
  <c r="DQ22" i="14"/>
  <c r="E21" i="12"/>
  <c r="DQ7" i="14"/>
  <c r="E6" i="12"/>
  <c r="FT29" i="14"/>
  <c r="DQ25" i="14"/>
  <c r="E24" i="12"/>
  <c r="DU26" i="14"/>
  <c r="DV26" i="14" s="1"/>
  <c r="DW26" i="14" s="1"/>
  <c r="DX26" i="14" s="1"/>
  <c r="DY26" i="14" s="1"/>
  <c r="DZ26" i="14" s="1"/>
  <c r="EA26" i="14" s="1"/>
  <c r="EB26" i="14" s="1"/>
  <c r="EC26" i="14" s="1"/>
  <c r="ED26" i="14" s="1"/>
  <c r="EE26" i="14" s="1"/>
  <c r="EF26" i="14" s="1"/>
  <c r="EG26" i="14" s="1"/>
  <c r="EH26" i="14" s="1"/>
  <c r="EI26" i="14" s="1"/>
  <c r="EJ26" i="14" s="1"/>
  <c r="EK26" i="14" s="1"/>
  <c r="EL26" i="14" s="1"/>
  <c r="EM26" i="14" s="1"/>
  <c r="EN26" i="14" s="1"/>
  <c r="EO26" i="14" s="1"/>
  <c r="EP26" i="14" s="1"/>
  <c r="EQ26" i="14" s="1"/>
  <c r="ER26" i="14" s="1"/>
  <c r="ES26" i="14" s="1"/>
  <c r="ET26" i="14" s="1"/>
  <c r="EU26" i="14" s="1"/>
  <c r="EV26" i="14" s="1"/>
  <c r="EW26" i="14" s="1"/>
  <c r="EX26" i="14" s="1"/>
  <c r="EY26" i="14" s="1"/>
  <c r="EZ26" i="14" s="1"/>
  <c r="FA26" i="14" s="1"/>
  <c r="FB26" i="14" s="1"/>
  <c r="FC26" i="14" s="1"/>
  <c r="FD26" i="14" s="1"/>
  <c r="FE26" i="14" s="1"/>
  <c r="FF26" i="14" s="1"/>
  <c r="FG26" i="14" s="1"/>
  <c r="FH26" i="14" s="1"/>
  <c r="FI26" i="14" s="1"/>
  <c r="FJ26" i="14" s="1"/>
  <c r="FK26" i="14" s="1"/>
  <c r="E25" i="12"/>
  <c r="FR17" i="14"/>
  <c r="B12" i="19" s="1"/>
  <c r="DU25" i="14"/>
  <c r="DV25" i="14" s="1"/>
  <c r="DW25" i="14" s="1"/>
  <c r="DX25" i="14" s="1"/>
  <c r="DY25" i="14" s="1"/>
  <c r="DZ25" i="14" s="1"/>
  <c r="EA25" i="14" s="1"/>
  <c r="EB25" i="14" s="1"/>
  <c r="EC25" i="14" s="1"/>
  <c r="ED25" i="14" s="1"/>
  <c r="EE25" i="14" s="1"/>
  <c r="EF25" i="14" s="1"/>
  <c r="EG25" i="14" s="1"/>
  <c r="EH25" i="14" s="1"/>
  <c r="EI25" i="14" s="1"/>
  <c r="EJ25" i="14" s="1"/>
  <c r="EK25" i="14" s="1"/>
  <c r="EL25" i="14" s="1"/>
  <c r="EM25" i="14" s="1"/>
  <c r="EN25" i="14" s="1"/>
  <c r="EO25" i="14" s="1"/>
  <c r="EP25" i="14" s="1"/>
  <c r="EQ25" i="14" s="1"/>
  <c r="ER25" i="14" s="1"/>
  <c r="ES25" i="14" s="1"/>
  <c r="ET25" i="14" s="1"/>
  <c r="EU25" i="14" s="1"/>
  <c r="EV25" i="14" s="1"/>
  <c r="EW25" i="14" s="1"/>
  <c r="EX25" i="14" s="1"/>
  <c r="EY25" i="14" s="1"/>
  <c r="EZ25" i="14" s="1"/>
  <c r="FA25" i="14" s="1"/>
  <c r="FB25" i="14" s="1"/>
  <c r="FC25" i="14" s="1"/>
  <c r="FD25" i="14" s="1"/>
  <c r="FE25" i="14" s="1"/>
  <c r="FF25" i="14" s="1"/>
  <c r="FG25" i="14" s="1"/>
  <c r="FH25" i="14" s="1"/>
  <c r="FI25" i="14" s="1"/>
  <c r="FJ25" i="14" s="1"/>
  <c r="FK25" i="14" s="1"/>
  <c r="FM6" i="14"/>
  <c r="FM7" i="14" s="1"/>
  <c r="AC29" i="14"/>
  <c r="AM24" i="14"/>
  <c r="AC27" i="14"/>
  <c r="AC9" i="14"/>
  <c r="FR9" i="14"/>
  <c r="AC11" i="14"/>
  <c r="AC13" i="14"/>
  <c r="AC12" i="14"/>
  <c r="DQ26" i="14"/>
  <c r="DR18" i="14"/>
  <c r="AC17" i="14"/>
  <c r="DU22" i="14"/>
  <c r="DV22" i="14" s="1"/>
  <c r="DW22" i="14" s="1"/>
  <c r="DX22" i="14" s="1"/>
  <c r="DY22" i="14" s="1"/>
  <c r="DZ22" i="14" s="1"/>
  <c r="EA22" i="14" s="1"/>
  <c r="EB22" i="14" s="1"/>
  <c r="EC22" i="14" s="1"/>
  <c r="ED22" i="14" s="1"/>
  <c r="EE22" i="14" s="1"/>
  <c r="EF22" i="14" s="1"/>
  <c r="EG22" i="14" s="1"/>
  <c r="EH22" i="14" s="1"/>
  <c r="EI22" i="14" s="1"/>
  <c r="EJ22" i="14" s="1"/>
  <c r="EK22" i="14" s="1"/>
  <c r="EL22" i="14" s="1"/>
  <c r="EM22" i="14" s="1"/>
  <c r="EN22" i="14" s="1"/>
  <c r="EO22" i="14" s="1"/>
  <c r="EP22" i="14" s="1"/>
  <c r="EQ22" i="14" s="1"/>
  <c r="ER22" i="14" s="1"/>
  <c r="ES22" i="14" s="1"/>
  <c r="ET22" i="14" s="1"/>
  <c r="EU22" i="14" s="1"/>
  <c r="EV22" i="14" s="1"/>
  <c r="EW22" i="14" s="1"/>
  <c r="EX22" i="14" s="1"/>
  <c r="EY22" i="14" s="1"/>
  <c r="EZ22" i="14" s="1"/>
  <c r="FA22" i="14" s="1"/>
  <c r="FB22" i="14" s="1"/>
  <c r="FC22" i="14" s="1"/>
  <c r="FD22" i="14" s="1"/>
  <c r="FE22" i="14" s="1"/>
  <c r="FF22" i="14" s="1"/>
  <c r="FG22" i="14" s="1"/>
  <c r="FH22" i="14" s="1"/>
  <c r="FI22" i="14" s="1"/>
  <c r="FJ22" i="14" s="1"/>
  <c r="FK22" i="14" s="1"/>
  <c r="DR20" i="14"/>
  <c r="E19" i="12" s="1"/>
  <c r="DR8" i="14"/>
  <c r="DR28" i="14"/>
  <c r="FR11" i="14"/>
  <c r="B5" i="19" s="1"/>
  <c r="DR27" i="14"/>
  <c r="DR19" i="14"/>
  <c r="E18" i="12" s="1"/>
  <c r="DR29" i="14"/>
  <c r="DU21" i="14"/>
  <c r="DV21" i="14" s="1"/>
  <c r="DW21" i="14" s="1"/>
  <c r="DX21" i="14" s="1"/>
  <c r="DY21" i="14" s="1"/>
  <c r="DZ21" i="14" s="1"/>
  <c r="EA21" i="14" s="1"/>
  <c r="EB21" i="14" s="1"/>
  <c r="EC21" i="14" s="1"/>
  <c r="ED21" i="14" s="1"/>
  <c r="EE21" i="14" s="1"/>
  <c r="EF21" i="14" s="1"/>
  <c r="EG21" i="14" s="1"/>
  <c r="EH21" i="14" s="1"/>
  <c r="EI21" i="14" s="1"/>
  <c r="EJ21" i="14" s="1"/>
  <c r="EK21" i="14" s="1"/>
  <c r="EL21" i="14" s="1"/>
  <c r="EM21" i="14" s="1"/>
  <c r="EN21" i="14" s="1"/>
  <c r="EO21" i="14" s="1"/>
  <c r="EP21" i="14" s="1"/>
  <c r="EQ21" i="14" s="1"/>
  <c r="ER21" i="14" s="1"/>
  <c r="ES21" i="14" s="1"/>
  <c r="ET21" i="14" s="1"/>
  <c r="EU21" i="14" s="1"/>
  <c r="EV21" i="14" s="1"/>
  <c r="EW21" i="14" s="1"/>
  <c r="EX21" i="14" s="1"/>
  <c r="EY21" i="14" s="1"/>
  <c r="EZ21" i="14" s="1"/>
  <c r="FA21" i="14" s="1"/>
  <c r="FB21" i="14" s="1"/>
  <c r="FC21" i="14" s="1"/>
  <c r="FD21" i="14" s="1"/>
  <c r="FE21" i="14" s="1"/>
  <c r="FF21" i="14" s="1"/>
  <c r="FG21" i="14" s="1"/>
  <c r="FH21" i="14" s="1"/>
  <c r="FI21" i="14" s="1"/>
  <c r="FJ21" i="14" s="1"/>
  <c r="FK21" i="14" s="1"/>
  <c r="DQ21" i="14"/>
  <c r="FR6" i="14"/>
  <c r="AC7" i="14"/>
  <c r="DU7" i="14"/>
  <c r="DV7" i="14" s="1"/>
  <c r="DW7" i="14" s="1"/>
  <c r="DX7" i="14" s="1"/>
  <c r="DY7" i="14" s="1"/>
  <c r="DZ7" i="14" s="1"/>
  <c r="EA7" i="14" s="1"/>
  <c r="EB7" i="14" s="1"/>
  <c r="EC7" i="14" s="1"/>
  <c r="ED7" i="14" s="1"/>
  <c r="EE7" i="14" s="1"/>
  <c r="EF7" i="14" s="1"/>
  <c r="EG7" i="14" s="1"/>
  <c r="EH7" i="14" s="1"/>
  <c r="EI7" i="14" s="1"/>
  <c r="EJ7" i="14" s="1"/>
  <c r="EK7" i="14" s="1"/>
  <c r="EL7" i="14" s="1"/>
  <c r="EM7" i="14" s="1"/>
  <c r="EN7" i="14" s="1"/>
  <c r="EO7" i="14" s="1"/>
  <c r="EP7" i="14" s="1"/>
  <c r="EQ7" i="14" s="1"/>
  <c r="ER7" i="14" s="1"/>
  <c r="ES7" i="14" s="1"/>
  <c r="ET7" i="14" s="1"/>
  <c r="EU7" i="14" s="1"/>
  <c r="EV7" i="14" s="1"/>
  <c r="EW7" i="14" s="1"/>
  <c r="EX7" i="14" s="1"/>
  <c r="EY7" i="14" s="1"/>
  <c r="EZ7" i="14" s="1"/>
  <c r="FA7" i="14" s="1"/>
  <c r="FB7" i="14" s="1"/>
  <c r="FC7" i="14" s="1"/>
  <c r="FD7" i="14" s="1"/>
  <c r="FE7" i="14" s="1"/>
  <c r="FF7" i="14" s="1"/>
  <c r="FG7" i="14" s="1"/>
  <c r="FH7" i="14" s="1"/>
  <c r="FI7" i="14" s="1"/>
  <c r="FJ7" i="14" s="1"/>
  <c r="FK7" i="14" s="1"/>
  <c r="DR5" i="14"/>
  <c r="E4" i="12" s="1"/>
  <c r="FR12" i="14"/>
  <c r="DR12" i="14"/>
  <c r="E11" i="12" s="1"/>
  <c r="FR15" i="14"/>
  <c r="B13" i="19" s="1"/>
  <c r="AC15" i="14"/>
  <c r="AC18" i="14"/>
  <c r="FR18" i="14"/>
  <c r="V14" i="14"/>
  <c r="DQ14" i="14" s="1"/>
  <c r="FR16" i="14"/>
  <c r="AC16" i="14"/>
  <c r="DR11" i="14"/>
  <c r="E10" i="12" s="1"/>
  <c r="DR4" i="14"/>
  <c r="E3" i="12" s="1"/>
  <c r="AC28" i="14"/>
  <c r="FR28" i="14"/>
  <c r="FR8" i="14"/>
  <c r="B16" i="19" s="1"/>
  <c r="AC8" i="14"/>
  <c r="DR6" i="14"/>
  <c r="E5" i="12" s="1"/>
  <c r="DQ3" i="14"/>
  <c r="DU3" i="14"/>
  <c r="DV3" i="14" s="1"/>
  <c r="DW3" i="14" s="1"/>
  <c r="DX3" i="14" s="1"/>
  <c r="DY3" i="14" s="1"/>
  <c r="DZ3" i="14" s="1"/>
  <c r="EA3" i="14" s="1"/>
  <c r="EB3" i="14" s="1"/>
  <c r="EC3" i="14" s="1"/>
  <c r="ED3" i="14" s="1"/>
  <c r="EE3" i="14" s="1"/>
  <c r="EF3" i="14" s="1"/>
  <c r="EG3" i="14" s="1"/>
  <c r="EH3" i="14" s="1"/>
  <c r="EI3" i="14" s="1"/>
  <c r="FR13" i="14"/>
  <c r="AC6" i="14"/>
  <c r="FR7" i="14"/>
  <c r="B15" i="19" s="1"/>
  <c r="GA13" i="22" l="1"/>
  <c r="FW15" i="22"/>
  <c r="FZ14" i="22"/>
  <c r="FY14" i="22"/>
  <c r="P23" i="17"/>
  <c r="E9" i="12"/>
  <c r="DQ10" i="14"/>
  <c r="FT3" i="14"/>
  <c r="FO6" i="14"/>
  <c r="E8" i="12"/>
  <c r="DQ9" i="14"/>
  <c r="DQ8" i="14"/>
  <c r="E7" i="12"/>
  <c r="G2" i="18"/>
  <c r="DQ18" i="14"/>
  <c r="E17" i="12"/>
  <c r="FT6" i="14"/>
  <c r="FT18" i="14"/>
  <c r="FT17" i="14"/>
  <c r="DQ29" i="14"/>
  <c r="E28" i="12"/>
  <c r="P20" i="17"/>
  <c r="DQ27" i="14"/>
  <c r="E26" i="12"/>
  <c r="FT9" i="14"/>
  <c r="P30" i="17"/>
  <c r="FT7" i="14"/>
  <c r="P28" i="17"/>
  <c r="FT12" i="14"/>
  <c r="FT8" i="14"/>
  <c r="FT11" i="14"/>
  <c r="FT28" i="14"/>
  <c r="P26" i="17"/>
  <c r="DU28" i="14"/>
  <c r="DV28" i="14" s="1"/>
  <c r="DW28" i="14" s="1"/>
  <c r="DX28" i="14" s="1"/>
  <c r="DY28" i="14" s="1"/>
  <c r="DZ28" i="14" s="1"/>
  <c r="EA28" i="14" s="1"/>
  <c r="EB28" i="14" s="1"/>
  <c r="EC28" i="14" s="1"/>
  <c r="ED28" i="14" s="1"/>
  <c r="EE28" i="14" s="1"/>
  <c r="EF28" i="14" s="1"/>
  <c r="EG28" i="14" s="1"/>
  <c r="EH28" i="14" s="1"/>
  <c r="EI28" i="14" s="1"/>
  <c r="EJ28" i="14" s="1"/>
  <c r="EK28" i="14" s="1"/>
  <c r="EL28" i="14" s="1"/>
  <c r="EM28" i="14" s="1"/>
  <c r="EN28" i="14" s="1"/>
  <c r="EO28" i="14" s="1"/>
  <c r="EP28" i="14" s="1"/>
  <c r="EQ28" i="14" s="1"/>
  <c r="ER28" i="14" s="1"/>
  <c r="ES28" i="14" s="1"/>
  <c r="ET28" i="14" s="1"/>
  <c r="EU28" i="14" s="1"/>
  <c r="EV28" i="14" s="1"/>
  <c r="EW28" i="14" s="1"/>
  <c r="EX28" i="14" s="1"/>
  <c r="EY28" i="14" s="1"/>
  <c r="EZ28" i="14" s="1"/>
  <c r="FA28" i="14" s="1"/>
  <c r="FB28" i="14" s="1"/>
  <c r="FC28" i="14" s="1"/>
  <c r="FD28" i="14" s="1"/>
  <c r="FE28" i="14" s="1"/>
  <c r="FF28" i="14" s="1"/>
  <c r="FG28" i="14" s="1"/>
  <c r="FH28" i="14" s="1"/>
  <c r="FI28" i="14" s="1"/>
  <c r="FJ28" i="14" s="1"/>
  <c r="FK28" i="14" s="1"/>
  <c r="E27" i="12"/>
  <c r="FT16" i="14"/>
  <c r="P21" i="17"/>
  <c r="FT15" i="14"/>
  <c r="FT13" i="14"/>
  <c r="P24" i="17"/>
  <c r="AN24" i="14"/>
  <c r="DU18" i="14"/>
  <c r="DV18" i="14" s="1"/>
  <c r="DW18" i="14" s="1"/>
  <c r="DX18" i="14" s="1"/>
  <c r="DY18" i="14" s="1"/>
  <c r="DZ18" i="14" s="1"/>
  <c r="EA18" i="14" s="1"/>
  <c r="EB18" i="14" s="1"/>
  <c r="EC18" i="14" s="1"/>
  <c r="ED18" i="14" s="1"/>
  <c r="EE18" i="14" s="1"/>
  <c r="EF18" i="14" s="1"/>
  <c r="EG18" i="14" s="1"/>
  <c r="EH18" i="14" s="1"/>
  <c r="EI18" i="14" s="1"/>
  <c r="EJ18" i="14" s="1"/>
  <c r="EK18" i="14" s="1"/>
  <c r="EL18" i="14" s="1"/>
  <c r="EM18" i="14" s="1"/>
  <c r="EN18" i="14" s="1"/>
  <c r="EO18" i="14" s="1"/>
  <c r="EP18" i="14" s="1"/>
  <c r="EQ18" i="14" s="1"/>
  <c r="ER18" i="14" s="1"/>
  <c r="ES18" i="14" s="1"/>
  <c r="ET18" i="14" s="1"/>
  <c r="EU18" i="14" s="1"/>
  <c r="EV18" i="14" s="1"/>
  <c r="EW18" i="14" s="1"/>
  <c r="EX18" i="14" s="1"/>
  <c r="EY18" i="14" s="1"/>
  <c r="EZ18" i="14" s="1"/>
  <c r="FA18" i="14" s="1"/>
  <c r="FB18" i="14" s="1"/>
  <c r="FC18" i="14" s="1"/>
  <c r="FD18" i="14" s="1"/>
  <c r="FE18" i="14" s="1"/>
  <c r="FF18" i="14" s="1"/>
  <c r="FG18" i="14" s="1"/>
  <c r="FH18" i="14" s="1"/>
  <c r="FI18" i="14" s="1"/>
  <c r="FJ18" i="14" s="1"/>
  <c r="FK18" i="14" s="1"/>
  <c r="DU8" i="14"/>
  <c r="DV8" i="14" s="1"/>
  <c r="DW8" i="14" s="1"/>
  <c r="DX8" i="14" s="1"/>
  <c r="DY8" i="14" s="1"/>
  <c r="DZ8" i="14" s="1"/>
  <c r="EA8" i="14" s="1"/>
  <c r="EB8" i="14" s="1"/>
  <c r="EC8" i="14" s="1"/>
  <c r="ED8" i="14" s="1"/>
  <c r="EE8" i="14" s="1"/>
  <c r="EF8" i="14" s="1"/>
  <c r="EG8" i="14" s="1"/>
  <c r="EH8" i="14" s="1"/>
  <c r="EI8" i="14" s="1"/>
  <c r="EJ8" i="14" s="1"/>
  <c r="EK8" i="14" s="1"/>
  <c r="EL8" i="14" s="1"/>
  <c r="EM8" i="14" s="1"/>
  <c r="EN8" i="14" s="1"/>
  <c r="EO8" i="14" s="1"/>
  <c r="EP8" i="14" s="1"/>
  <c r="EQ8" i="14" s="1"/>
  <c r="ER8" i="14" s="1"/>
  <c r="ES8" i="14" s="1"/>
  <c r="ET8" i="14" s="1"/>
  <c r="EU8" i="14" s="1"/>
  <c r="EV8" i="14" s="1"/>
  <c r="EW8" i="14" s="1"/>
  <c r="EX8" i="14" s="1"/>
  <c r="EY8" i="14" s="1"/>
  <c r="EZ8" i="14" s="1"/>
  <c r="FA8" i="14" s="1"/>
  <c r="FB8" i="14" s="1"/>
  <c r="FC8" i="14" s="1"/>
  <c r="FD8" i="14" s="1"/>
  <c r="FE8" i="14" s="1"/>
  <c r="FF8" i="14" s="1"/>
  <c r="FG8" i="14" s="1"/>
  <c r="FH8" i="14" s="1"/>
  <c r="FI8" i="14" s="1"/>
  <c r="FJ8" i="14" s="1"/>
  <c r="FK8" i="14" s="1"/>
  <c r="DU20" i="14"/>
  <c r="DV20" i="14" s="1"/>
  <c r="DW20" i="14" s="1"/>
  <c r="DX20" i="14" s="1"/>
  <c r="DY20" i="14" s="1"/>
  <c r="DZ20" i="14" s="1"/>
  <c r="EA20" i="14" s="1"/>
  <c r="EB20" i="14" s="1"/>
  <c r="EC20" i="14" s="1"/>
  <c r="ED20" i="14" s="1"/>
  <c r="EE20" i="14" s="1"/>
  <c r="EF20" i="14" s="1"/>
  <c r="EG20" i="14" s="1"/>
  <c r="EH20" i="14" s="1"/>
  <c r="EI20" i="14" s="1"/>
  <c r="EJ20" i="14" s="1"/>
  <c r="EK20" i="14" s="1"/>
  <c r="EL20" i="14" s="1"/>
  <c r="EM20" i="14" s="1"/>
  <c r="EN20" i="14" s="1"/>
  <c r="EO20" i="14" s="1"/>
  <c r="EP20" i="14" s="1"/>
  <c r="EQ20" i="14" s="1"/>
  <c r="ER20" i="14" s="1"/>
  <c r="ES20" i="14" s="1"/>
  <c r="ET20" i="14" s="1"/>
  <c r="EU20" i="14" s="1"/>
  <c r="EV20" i="14" s="1"/>
  <c r="EW20" i="14" s="1"/>
  <c r="EX20" i="14" s="1"/>
  <c r="EY20" i="14" s="1"/>
  <c r="EZ20" i="14" s="1"/>
  <c r="FA20" i="14" s="1"/>
  <c r="FB20" i="14" s="1"/>
  <c r="FC20" i="14" s="1"/>
  <c r="FD20" i="14" s="1"/>
  <c r="FE20" i="14" s="1"/>
  <c r="FF20" i="14" s="1"/>
  <c r="FG20" i="14" s="1"/>
  <c r="FH20" i="14" s="1"/>
  <c r="FI20" i="14" s="1"/>
  <c r="FJ20" i="14" s="1"/>
  <c r="FK20" i="14" s="1"/>
  <c r="DQ20" i="14"/>
  <c r="DU27" i="14"/>
  <c r="DV27" i="14" s="1"/>
  <c r="DW27" i="14" s="1"/>
  <c r="DX27" i="14" s="1"/>
  <c r="DY27" i="14" s="1"/>
  <c r="DZ27" i="14" s="1"/>
  <c r="EA27" i="14" s="1"/>
  <c r="EB27" i="14" s="1"/>
  <c r="EC27" i="14" s="1"/>
  <c r="ED27" i="14" s="1"/>
  <c r="EE27" i="14" s="1"/>
  <c r="EF27" i="14" s="1"/>
  <c r="EG27" i="14" s="1"/>
  <c r="EH27" i="14" s="1"/>
  <c r="EI27" i="14" s="1"/>
  <c r="EJ27" i="14" s="1"/>
  <c r="EK27" i="14" s="1"/>
  <c r="EL27" i="14" s="1"/>
  <c r="EM27" i="14" s="1"/>
  <c r="EN27" i="14" s="1"/>
  <c r="EO27" i="14" s="1"/>
  <c r="EP27" i="14" s="1"/>
  <c r="EQ27" i="14" s="1"/>
  <c r="ER27" i="14" s="1"/>
  <c r="ES27" i="14" s="1"/>
  <c r="ET27" i="14" s="1"/>
  <c r="EU27" i="14" s="1"/>
  <c r="EV27" i="14" s="1"/>
  <c r="EW27" i="14" s="1"/>
  <c r="EX27" i="14" s="1"/>
  <c r="EY27" i="14" s="1"/>
  <c r="EZ27" i="14" s="1"/>
  <c r="FA27" i="14" s="1"/>
  <c r="FB27" i="14" s="1"/>
  <c r="FC27" i="14" s="1"/>
  <c r="FD27" i="14" s="1"/>
  <c r="FE27" i="14" s="1"/>
  <c r="FF27" i="14" s="1"/>
  <c r="FG27" i="14" s="1"/>
  <c r="FH27" i="14" s="1"/>
  <c r="FI27" i="14" s="1"/>
  <c r="FJ27" i="14" s="1"/>
  <c r="FK27" i="14" s="1"/>
  <c r="DQ28" i="14"/>
  <c r="DU29" i="14"/>
  <c r="DV29" i="14" s="1"/>
  <c r="DW29" i="14" s="1"/>
  <c r="DX29" i="14" s="1"/>
  <c r="DY29" i="14" s="1"/>
  <c r="DZ29" i="14" s="1"/>
  <c r="EA29" i="14" s="1"/>
  <c r="EB29" i="14" s="1"/>
  <c r="EC29" i="14" s="1"/>
  <c r="ED29" i="14" s="1"/>
  <c r="EE29" i="14" s="1"/>
  <c r="EF29" i="14" s="1"/>
  <c r="EG29" i="14" s="1"/>
  <c r="EH29" i="14" s="1"/>
  <c r="EI29" i="14" s="1"/>
  <c r="EJ29" i="14" s="1"/>
  <c r="EK29" i="14" s="1"/>
  <c r="EL29" i="14" s="1"/>
  <c r="EM29" i="14" s="1"/>
  <c r="EN29" i="14" s="1"/>
  <c r="EO29" i="14" s="1"/>
  <c r="EP29" i="14" s="1"/>
  <c r="EQ29" i="14" s="1"/>
  <c r="ER29" i="14" s="1"/>
  <c r="ES29" i="14" s="1"/>
  <c r="ET29" i="14" s="1"/>
  <c r="EU29" i="14" s="1"/>
  <c r="EV29" i="14" s="1"/>
  <c r="EW29" i="14" s="1"/>
  <c r="EX29" i="14" s="1"/>
  <c r="EY29" i="14" s="1"/>
  <c r="EZ29" i="14" s="1"/>
  <c r="FA29" i="14" s="1"/>
  <c r="FB29" i="14" s="1"/>
  <c r="FC29" i="14" s="1"/>
  <c r="FD29" i="14" s="1"/>
  <c r="FE29" i="14" s="1"/>
  <c r="FF29" i="14" s="1"/>
  <c r="FG29" i="14" s="1"/>
  <c r="FH29" i="14" s="1"/>
  <c r="FI29" i="14" s="1"/>
  <c r="FJ29" i="14" s="1"/>
  <c r="FK29" i="14" s="1"/>
  <c r="DQ19" i="14"/>
  <c r="DU19" i="14"/>
  <c r="DV19" i="14" s="1"/>
  <c r="DW19" i="14" s="1"/>
  <c r="DX19" i="14" s="1"/>
  <c r="DY19" i="14" s="1"/>
  <c r="DZ19" i="14" s="1"/>
  <c r="EA19" i="14" s="1"/>
  <c r="EB19" i="14" s="1"/>
  <c r="EC19" i="14" s="1"/>
  <c r="ED19" i="14" s="1"/>
  <c r="EE19" i="14" s="1"/>
  <c r="EF19" i="14" s="1"/>
  <c r="EG19" i="14" s="1"/>
  <c r="EH19" i="14" s="1"/>
  <c r="EI19" i="14" s="1"/>
  <c r="EJ19" i="14" s="1"/>
  <c r="EK19" i="14" s="1"/>
  <c r="EL19" i="14" s="1"/>
  <c r="EM19" i="14" s="1"/>
  <c r="EN19" i="14" s="1"/>
  <c r="EO19" i="14" s="1"/>
  <c r="EP19" i="14" s="1"/>
  <c r="EQ19" i="14" s="1"/>
  <c r="ER19" i="14" s="1"/>
  <c r="ES19" i="14" s="1"/>
  <c r="ET19" i="14" s="1"/>
  <c r="EU19" i="14" s="1"/>
  <c r="EV19" i="14" s="1"/>
  <c r="EW19" i="14" s="1"/>
  <c r="EX19" i="14" s="1"/>
  <c r="EY19" i="14" s="1"/>
  <c r="EZ19" i="14" s="1"/>
  <c r="FA19" i="14" s="1"/>
  <c r="FB19" i="14" s="1"/>
  <c r="FC19" i="14" s="1"/>
  <c r="FD19" i="14" s="1"/>
  <c r="FE19" i="14" s="1"/>
  <c r="FF19" i="14" s="1"/>
  <c r="FG19" i="14" s="1"/>
  <c r="FH19" i="14" s="1"/>
  <c r="FI19" i="14" s="1"/>
  <c r="FJ19" i="14" s="1"/>
  <c r="FK19" i="14" s="1"/>
  <c r="DU5" i="14"/>
  <c r="DV5" i="14" s="1"/>
  <c r="DW5" i="14" s="1"/>
  <c r="DX5" i="14" s="1"/>
  <c r="DY5" i="14" s="1"/>
  <c r="DZ5" i="14" s="1"/>
  <c r="EA5" i="14" s="1"/>
  <c r="EB5" i="14" s="1"/>
  <c r="EC5" i="14" s="1"/>
  <c r="ED5" i="14" s="1"/>
  <c r="EE5" i="14" s="1"/>
  <c r="EF5" i="14" s="1"/>
  <c r="EG5" i="14" s="1"/>
  <c r="EH5" i="14" s="1"/>
  <c r="EI5" i="14" s="1"/>
  <c r="DQ5" i="14"/>
  <c r="EJ3" i="14"/>
  <c r="EK3" i="14" s="1"/>
  <c r="EL3" i="14" s="1"/>
  <c r="EM3" i="14" s="1"/>
  <c r="EN3" i="14" s="1"/>
  <c r="EO3" i="14" s="1"/>
  <c r="EP3" i="14" s="1"/>
  <c r="EQ3" i="14" s="1"/>
  <c r="ER3" i="14" s="1"/>
  <c r="ES3" i="14" s="1"/>
  <c r="ET3" i="14" s="1"/>
  <c r="EU3" i="14" s="1"/>
  <c r="EV3" i="14" s="1"/>
  <c r="EW3" i="14" s="1"/>
  <c r="EX3" i="14" s="1"/>
  <c r="EY3" i="14" s="1"/>
  <c r="EZ3" i="14" s="1"/>
  <c r="FA3" i="14" s="1"/>
  <c r="FB3" i="14" s="1"/>
  <c r="FC3" i="14" s="1"/>
  <c r="FD3" i="14" s="1"/>
  <c r="FE3" i="14" s="1"/>
  <c r="FF3" i="14" s="1"/>
  <c r="FG3" i="14" s="1"/>
  <c r="FH3" i="14" s="1"/>
  <c r="FI3" i="14" s="1"/>
  <c r="FJ3" i="14" s="1"/>
  <c r="FK3" i="14" s="1"/>
  <c r="K23" i="17"/>
  <c r="AC14" i="14"/>
  <c r="FR14" i="14"/>
  <c r="B7" i="19" s="1"/>
  <c r="DU12" i="14"/>
  <c r="DV12" i="14" s="1"/>
  <c r="DW12" i="14" s="1"/>
  <c r="DX12" i="14" s="1"/>
  <c r="DY12" i="14" s="1"/>
  <c r="DZ12" i="14" s="1"/>
  <c r="EA12" i="14" s="1"/>
  <c r="EB12" i="14" s="1"/>
  <c r="EC12" i="14" s="1"/>
  <c r="ED12" i="14" s="1"/>
  <c r="EE12" i="14" s="1"/>
  <c r="EF12" i="14" s="1"/>
  <c r="EG12" i="14" s="1"/>
  <c r="EH12" i="14" s="1"/>
  <c r="EI12" i="14" s="1"/>
  <c r="EJ12" i="14" s="1"/>
  <c r="EK12" i="14" s="1"/>
  <c r="EL12" i="14" s="1"/>
  <c r="EM12" i="14" s="1"/>
  <c r="EN12" i="14" s="1"/>
  <c r="EO12" i="14" s="1"/>
  <c r="EP12" i="14" s="1"/>
  <c r="EQ12" i="14" s="1"/>
  <c r="ER12" i="14" s="1"/>
  <c r="ES12" i="14" s="1"/>
  <c r="ET12" i="14" s="1"/>
  <c r="EU12" i="14" s="1"/>
  <c r="EV12" i="14" s="1"/>
  <c r="EW12" i="14" s="1"/>
  <c r="EX12" i="14" s="1"/>
  <c r="EY12" i="14" s="1"/>
  <c r="EZ12" i="14" s="1"/>
  <c r="FA12" i="14" s="1"/>
  <c r="FB12" i="14" s="1"/>
  <c r="FC12" i="14" s="1"/>
  <c r="FD12" i="14" s="1"/>
  <c r="FE12" i="14" s="1"/>
  <c r="FF12" i="14" s="1"/>
  <c r="FG12" i="14" s="1"/>
  <c r="FH12" i="14" s="1"/>
  <c r="FI12" i="14" s="1"/>
  <c r="FJ12" i="14" s="1"/>
  <c r="FK12" i="14" s="1"/>
  <c r="DQ12" i="14"/>
  <c r="DQ11" i="14"/>
  <c r="DU11" i="14"/>
  <c r="DV11" i="14" s="1"/>
  <c r="DW11" i="14" s="1"/>
  <c r="DX11" i="14" s="1"/>
  <c r="DY11" i="14" s="1"/>
  <c r="DZ11" i="14" s="1"/>
  <c r="EA11" i="14" s="1"/>
  <c r="EB11" i="14" s="1"/>
  <c r="EC11" i="14" s="1"/>
  <c r="ED11" i="14" s="1"/>
  <c r="EE11" i="14" s="1"/>
  <c r="EF11" i="14" s="1"/>
  <c r="EG11" i="14" s="1"/>
  <c r="EH11" i="14" s="1"/>
  <c r="EI11" i="14" s="1"/>
  <c r="EJ11" i="14" s="1"/>
  <c r="EK11" i="14" s="1"/>
  <c r="EL11" i="14" s="1"/>
  <c r="EM11" i="14" s="1"/>
  <c r="EN11" i="14" s="1"/>
  <c r="EO11" i="14" s="1"/>
  <c r="EP11" i="14" s="1"/>
  <c r="EQ11" i="14" s="1"/>
  <c r="ER11" i="14" s="1"/>
  <c r="ES11" i="14" s="1"/>
  <c r="ET11" i="14" s="1"/>
  <c r="EU11" i="14" s="1"/>
  <c r="EV11" i="14" s="1"/>
  <c r="EW11" i="14" s="1"/>
  <c r="EX11" i="14" s="1"/>
  <c r="EY11" i="14" s="1"/>
  <c r="EZ11" i="14" s="1"/>
  <c r="FA11" i="14" s="1"/>
  <c r="FB11" i="14" s="1"/>
  <c r="FC11" i="14" s="1"/>
  <c r="FD11" i="14" s="1"/>
  <c r="FE11" i="14" s="1"/>
  <c r="FF11" i="14" s="1"/>
  <c r="FG11" i="14" s="1"/>
  <c r="FH11" i="14" s="1"/>
  <c r="FI11" i="14" s="1"/>
  <c r="FJ11" i="14" s="1"/>
  <c r="FK11" i="14" s="1"/>
  <c r="DQ6" i="14"/>
  <c r="DU6" i="14"/>
  <c r="DV6" i="14" s="1"/>
  <c r="DW6" i="14" s="1"/>
  <c r="DX6" i="14" s="1"/>
  <c r="DY6" i="14" s="1"/>
  <c r="DU4" i="14"/>
  <c r="DQ4" i="14"/>
  <c r="FO7" i="14"/>
  <c r="FM8" i="14"/>
  <c r="FP7" i="14"/>
  <c r="GC13" i="22" l="1"/>
  <c r="L13" i="22"/>
  <c r="GA14" i="22"/>
  <c r="FY15" i="22"/>
  <c r="FW16" i="22"/>
  <c r="FZ15" i="22"/>
  <c r="G3" i="18"/>
  <c r="P19" i="17"/>
  <c r="G33" i="18"/>
  <c r="P9" i="17"/>
  <c r="G32" i="18"/>
  <c r="G6" i="18"/>
  <c r="P7" i="17"/>
  <c r="P29" i="17"/>
  <c r="G8" i="18"/>
  <c r="P18" i="17"/>
  <c r="G31" i="18"/>
  <c r="P17" i="17"/>
  <c r="FT14" i="14"/>
  <c r="P14" i="17"/>
  <c r="AO24" i="14"/>
  <c r="FQ7" i="14"/>
  <c r="K28" i="17" s="1"/>
  <c r="DV4" i="14"/>
  <c r="DW4" i="14" s="1"/>
  <c r="DX4" i="14" s="1"/>
  <c r="DY4" i="14" s="1"/>
  <c r="DZ4" i="14" s="1"/>
  <c r="EA4" i="14" s="1"/>
  <c r="EB4" i="14" s="1"/>
  <c r="EC4" i="14" s="1"/>
  <c r="ED4" i="14" s="1"/>
  <c r="EE4" i="14" s="1"/>
  <c r="EF4" i="14" s="1"/>
  <c r="EG4" i="14" s="1"/>
  <c r="EH4" i="14" s="1"/>
  <c r="EI4" i="14" s="1"/>
  <c r="EJ4" i="14" s="1"/>
  <c r="EK4" i="14" s="1"/>
  <c r="EL4" i="14" s="1"/>
  <c r="EM4" i="14" s="1"/>
  <c r="EN4" i="14" s="1"/>
  <c r="EO4" i="14" s="1"/>
  <c r="EP4" i="14" s="1"/>
  <c r="EQ4" i="14" s="1"/>
  <c r="ER4" i="14" s="1"/>
  <c r="ES4" i="14" s="1"/>
  <c r="ET4" i="14" s="1"/>
  <c r="EU4" i="14" s="1"/>
  <c r="EV4" i="14" s="1"/>
  <c r="EW4" i="14" s="1"/>
  <c r="EX4" i="14" s="1"/>
  <c r="EY4" i="14" s="1"/>
  <c r="EZ4" i="14" s="1"/>
  <c r="FA4" i="14" s="1"/>
  <c r="FB4" i="14" s="1"/>
  <c r="FC4" i="14" s="1"/>
  <c r="FD4" i="14" s="1"/>
  <c r="FE4" i="14" s="1"/>
  <c r="FF4" i="14" s="1"/>
  <c r="FG4" i="14" s="1"/>
  <c r="FH4" i="14" s="1"/>
  <c r="FI4" i="14" s="1"/>
  <c r="FJ4" i="14" s="1"/>
  <c r="FK4" i="14" s="1"/>
  <c r="FP4" i="14"/>
  <c r="FQ4" i="14" s="1"/>
  <c r="K6" i="17" s="1"/>
  <c r="DZ6" i="14"/>
  <c r="EA6" i="14" s="1"/>
  <c r="EB6" i="14" s="1"/>
  <c r="EC6" i="14" s="1"/>
  <c r="ED6" i="14" s="1"/>
  <c r="EE6" i="14" s="1"/>
  <c r="EF6" i="14" s="1"/>
  <c r="EG6" i="14" s="1"/>
  <c r="EH6" i="14" s="1"/>
  <c r="EI6" i="14" s="1"/>
  <c r="EJ6" i="14" s="1"/>
  <c r="EK6" i="14" s="1"/>
  <c r="EL6" i="14" s="1"/>
  <c r="EM6" i="14" s="1"/>
  <c r="EN6" i="14" s="1"/>
  <c r="EO6" i="14" s="1"/>
  <c r="EP6" i="14" s="1"/>
  <c r="EQ6" i="14" s="1"/>
  <c r="ER6" i="14" s="1"/>
  <c r="ES6" i="14" s="1"/>
  <c r="ET6" i="14" s="1"/>
  <c r="EU6" i="14" s="1"/>
  <c r="EV6" i="14" s="1"/>
  <c r="EW6" i="14" s="1"/>
  <c r="EX6" i="14" s="1"/>
  <c r="EY6" i="14" s="1"/>
  <c r="EZ6" i="14" s="1"/>
  <c r="FA6" i="14" s="1"/>
  <c r="FB6" i="14" s="1"/>
  <c r="FC6" i="14" s="1"/>
  <c r="FD6" i="14" s="1"/>
  <c r="FE6" i="14" s="1"/>
  <c r="FF6" i="14" s="1"/>
  <c r="FG6" i="14" s="1"/>
  <c r="FH6" i="14" s="1"/>
  <c r="FI6" i="14" s="1"/>
  <c r="FJ6" i="14" s="1"/>
  <c r="FK6" i="14" s="1"/>
  <c r="FP6" i="14"/>
  <c r="FQ6" i="14" s="1"/>
  <c r="K19" i="17" s="1"/>
  <c r="FM9" i="14"/>
  <c r="FP8" i="14"/>
  <c r="FO8" i="14"/>
  <c r="EJ5" i="14"/>
  <c r="EK5" i="14" s="1"/>
  <c r="EL5" i="14" s="1"/>
  <c r="EM5" i="14" s="1"/>
  <c r="EN5" i="14" s="1"/>
  <c r="EO5" i="14" s="1"/>
  <c r="EP5" i="14" s="1"/>
  <c r="EQ5" i="14" s="1"/>
  <c r="ER5" i="14" s="1"/>
  <c r="ES5" i="14" s="1"/>
  <c r="ET5" i="14" s="1"/>
  <c r="EU5" i="14" s="1"/>
  <c r="EV5" i="14" s="1"/>
  <c r="EW5" i="14" s="1"/>
  <c r="EX5" i="14" s="1"/>
  <c r="EY5" i="14" s="1"/>
  <c r="EZ5" i="14" s="1"/>
  <c r="FA5" i="14" s="1"/>
  <c r="FB5" i="14" s="1"/>
  <c r="FC5" i="14" s="1"/>
  <c r="FD5" i="14" s="1"/>
  <c r="FE5" i="14" s="1"/>
  <c r="FF5" i="14" s="1"/>
  <c r="FG5" i="14" s="1"/>
  <c r="FH5" i="14" s="1"/>
  <c r="FI5" i="14" s="1"/>
  <c r="FJ5" i="14" s="1"/>
  <c r="FK5" i="14" s="1"/>
  <c r="FP5" i="14"/>
  <c r="FQ5" i="14" s="1"/>
  <c r="K22" i="17" s="1"/>
  <c r="GC14" i="22" l="1"/>
  <c r="L14" i="22"/>
  <c r="GA15" i="22"/>
  <c r="FW17" i="22"/>
  <c r="FZ16" i="22"/>
  <c r="FY16" i="22"/>
  <c r="FS6" i="14"/>
  <c r="N23" i="17"/>
  <c r="M23" i="17"/>
  <c r="FS7" i="14"/>
  <c r="P15" i="17"/>
  <c r="AP24" i="14"/>
  <c r="FQ8" i="14"/>
  <c r="K29" i="17" s="1"/>
  <c r="FM10" i="14"/>
  <c r="FP9" i="14"/>
  <c r="FO9" i="14"/>
  <c r="GC15" i="22" l="1"/>
  <c r="L15" i="22"/>
  <c r="FW18" i="22"/>
  <c r="FY17" i="22"/>
  <c r="FZ17" i="22"/>
  <c r="GA16" i="22"/>
  <c r="N28" i="17"/>
  <c r="M28" i="17"/>
  <c r="N22" i="17"/>
  <c r="Q6" i="17"/>
  <c r="N6" i="17"/>
  <c r="FS8" i="14"/>
  <c r="N19" i="17"/>
  <c r="M19" i="17"/>
  <c r="AQ24" i="14"/>
  <c r="FQ9" i="14"/>
  <c r="K30" i="17" s="1"/>
  <c r="FO10" i="14"/>
  <c r="FP10" i="14"/>
  <c r="FM11" i="14"/>
  <c r="GC16" i="22" l="1"/>
  <c r="L16" i="22"/>
  <c r="GA17" i="22"/>
  <c r="FY18" i="22"/>
  <c r="FZ18" i="22"/>
  <c r="FW19" i="22"/>
  <c r="FS9" i="14"/>
  <c r="N29" i="17"/>
  <c r="M29" i="17"/>
  <c r="DR24" i="14"/>
  <c r="E23" i="12" s="1"/>
  <c r="BW24" i="14"/>
  <c r="FQ10" i="14"/>
  <c r="K16" i="17" s="1"/>
  <c r="FO11" i="14"/>
  <c r="FP11" i="14"/>
  <c r="FM12" i="14"/>
  <c r="GC17" i="22" l="1"/>
  <c r="GA18" i="22"/>
  <c r="FW20" i="22"/>
  <c r="FY19" i="22"/>
  <c r="FZ19" i="22"/>
  <c r="N30" i="17"/>
  <c r="M30" i="17"/>
  <c r="DQ24" i="14"/>
  <c r="DX24" i="14"/>
  <c r="DY24" i="14" s="1"/>
  <c r="DZ24" i="14" s="1"/>
  <c r="EA24" i="14" s="1"/>
  <c r="EB24" i="14" s="1"/>
  <c r="EC24" i="14" s="1"/>
  <c r="ED24" i="14" s="1"/>
  <c r="EE24" i="14" s="1"/>
  <c r="EF24" i="14" s="1"/>
  <c r="EG24" i="14" s="1"/>
  <c r="EH24" i="14" s="1"/>
  <c r="EI24" i="14" s="1"/>
  <c r="EJ24" i="14" s="1"/>
  <c r="EK24" i="14" s="1"/>
  <c r="EL24" i="14" s="1"/>
  <c r="EM24" i="14" s="1"/>
  <c r="EN24" i="14" s="1"/>
  <c r="EO24" i="14" s="1"/>
  <c r="EP24" i="14" s="1"/>
  <c r="EQ24" i="14" s="1"/>
  <c r="ER24" i="14" s="1"/>
  <c r="ES24" i="14" s="1"/>
  <c r="ET24" i="14" s="1"/>
  <c r="EU24" i="14" s="1"/>
  <c r="EV24" i="14" s="1"/>
  <c r="EW24" i="14" s="1"/>
  <c r="EX24" i="14" s="1"/>
  <c r="EY24" i="14" s="1"/>
  <c r="EZ24" i="14" s="1"/>
  <c r="FA24" i="14" s="1"/>
  <c r="FB24" i="14" s="1"/>
  <c r="FC24" i="14" s="1"/>
  <c r="FD24" i="14" s="1"/>
  <c r="FE24" i="14" s="1"/>
  <c r="FF24" i="14" s="1"/>
  <c r="FG24" i="14" s="1"/>
  <c r="FH24" i="14" s="1"/>
  <c r="FI24" i="14" s="1"/>
  <c r="FJ24" i="14" s="1"/>
  <c r="FK24" i="14" s="1"/>
  <c r="FQ11" i="14"/>
  <c r="K7" i="17" s="1"/>
  <c r="FP12" i="14"/>
  <c r="FM13" i="14"/>
  <c r="FO12" i="14"/>
  <c r="GC18" i="22" l="1"/>
  <c r="GA19" i="22"/>
  <c r="FZ20" i="22"/>
  <c r="FW21" i="22"/>
  <c r="FY20" i="22"/>
  <c r="Q7" i="17"/>
  <c r="FS11" i="14"/>
  <c r="N16" i="17"/>
  <c r="FM14" i="14"/>
  <c r="FP13" i="14"/>
  <c r="FO13" i="14"/>
  <c r="FQ12" i="14"/>
  <c r="K8" i="17" s="1"/>
  <c r="FZ21" i="22" l="1"/>
  <c r="FY21" i="22"/>
  <c r="FW22" i="22"/>
  <c r="GA20" i="22"/>
  <c r="FS12" i="14"/>
  <c r="N7" i="17"/>
  <c r="M7" i="17"/>
  <c r="FQ13" i="14"/>
  <c r="K24" i="17" s="1"/>
  <c r="FO14" i="14"/>
  <c r="FM15" i="14"/>
  <c r="FP14" i="14"/>
  <c r="GA21" i="22" l="1"/>
  <c r="FW23" i="22"/>
  <c r="FZ22" i="22"/>
  <c r="FY22" i="22"/>
  <c r="Q8" i="17"/>
  <c r="FS13" i="14"/>
  <c r="N8" i="17"/>
  <c r="FQ14" i="14"/>
  <c r="K15" i="17" s="1"/>
  <c r="FP15" i="14"/>
  <c r="FO15" i="14"/>
  <c r="FM16" i="14"/>
  <c r="GA22" i="22" l="1"/>
  <c r="FZ23" i="22"/>
  <c r="FW24" i="22"/>
  <c r="FY23" i="22"/>
  <c r="Q15" i="17"/>
  <c r="FS14" i="14"/>
  <c r="N24" i="17"/>
  <c r="M24" i="17"/>
  <c r="FO16" i="14"/>
  <c r="FM17" i="14"/>
  <c r="FP16" i="14"/>
  <c r="FQ15" i="14"/>
  <c r="K18" i="17" s="1"/>
  <c r="GA23" i="22" l="1"/>
  <c r="FZ24" i="22"/>
  <c r="FW25" i="22"/>
  <c r="FY24" i="22"/>
  <c r="Q16" i="17"/>
  <c r="FS15" i="14"/>
  <c r="N15" i="17"/>
  <c r="M15" i="17"/>
  <c r="FQ16" i="14"/>
  <c r="K21" i="17" s="1"/>
  <c r="FM18" i="14"/>
  <c r="FP17" i="14"/>
  <c r="FO17" i="14"/>
  <c r="FW26" i="22" l="1"/>
  <c r="FZ25" i="22"/>
  <c r="FY25" i="22"/>
  <c r="FS16" i="14"/>
  <c r="N18" i="17"/>
  <c r="M18" i="17"/>
  <c r="FQ17" i="14"/>
  <c r="K14" i="17" s="1"/>
  <c r="FO18" i="14"/>
  <c r="FP18" i="14"/>
  <c r="FM19" i="14"/>
  <c r="L24" i="22" l="1"/>
  <c r="FZ26" i="22"/>
  <c r="FY26" i="22"/>
  <c r="FW27" i="22"/>
  <c r="GA25" i="22"/>
  <c r="Q14" i="17"/>
  <c r="FS17" i="14"/>
  <c r="N21" i="17"/>
  <c r="M21" i="17"/>
  <c r="FQ18" i="14"/>
  <c r="K9" i="17" s="1"/>
  <c r="FM20" i="14"/>
  <c r="FP19" i="14"/>
  <c r="FO19" i="14"/>
  <c r="L25" i="22" l="1"/>
  <c r="FW28" i="22"/>
  <c r="FZ27" i="22"/>
  <c r="FY27" i="22"/>
  <c r="GA26" i="22"/>
  <c r="N14" i="17"/>
  <c r="M14" i="17"/>
  <c r="FS18" i="14"/>
  <c r="Q18" i="17"/>
  <c r="FQ19" i="14"/>
  <c r="K10" i="17" s="1"/>
  <c r="FM21" i="14"/>
  <c r="FP20" i="14"/>
  <c r="FO20" i="14"/>
  <c r="L26" i="22" l="1"/>
  <c r="GA27" i="22"/>
  <c r="FZ28" i="22"/>
  <c r="FY28" i="22"/>
  <c r="FW29" i="22"/>
  <c r="Q19" i="17"/>
  <c r="Q9" i="17"/>
  <c r="N9" i="17"/>
  <c r="M9" i="17"/>
  <c r="FQ20" i="14"/>
  <c r="K11" i="17" s="1"/>
  <c r="FP21" i="14"/>
  <c r="FO21" i="14"/>
  <c r="FM22" i="14"/>
  <c r="GC27" i="22" l="1"/>
  <c r="L27" i="22"/>
  <c r="FZ29" i="22"/>
  <c r="FY29" i="22"/>
  <c r="GA28" i="22"/>
  <c r="Q10" i="17"/>
  <c r="N10" i="17"/>
  <c r="FQ21" i="14"/>
  <c r="K12" i="17" s="1"/>
  <c r="FM23" i="14"/>
  <c r="FP22" i="14"/>
  <c r="FO22" i="14"/>
  <c r="GC28" i="22" l="1"/>
  <c r="L28" i="22"/>
  <c r="GA29" i="22"/>
  <c r="Q21" i="17"/>
  <c r="Q11" i="17"/>
  <c r="N11" i="17"/>
  <c r="FQ22" i="14"/>
  <c r="K13" i="17" s="1"/>
  <c r="FM24" i="14"/>
  <c r="FP23" i="14"/>
  <c r="FO23" i="14"/>
  <c r="GC29" i="22" l="1"/>
  <c r="Q22" i="17"/>
  <c r="Q12" i="17"/>
  <c r="N12" i="17"/>
  <c r="FQ23" i="14"/>
  <c r="K4" i="17" s="1"/>
  <c r="M4" i="17" s="1"/>
  <c r="FO24" i="14"/>
  <c r="FM25" i="14"/>
  <c r="FP24" i="14"/>
  <c r="FQ24" i="14" s="1"/>
  <c r="Q23" i="17" l="1"/>
  <c r="Q13" i="17"/>
  <c r="N13" i="17"/>
  <c r="K5" i="17"/>
  <c r="M5" i="17" s="1"/>
  <c r="FM26" i="14"/>
  <c r="FP25" i="14"/>
  <c r="FO25" i="14"/>
  <c r="Q24" i="17" l="1"/>
  <c r="Q4" i="17"/>
  <c r="N4" i="17"/>
  <c r="FQ25" i="14"/>
  <c r="K25" i="17" s="1"/>
  <c r="FO26" i="14"/>
  <c r="FM27" i="14"/>
  <c r="FP26" i="14"/>
  <c r="Q5" i="17" l="1"/>
  <c r="N5" i="17"/>
  <c r="FQ26" i="14"/>
  <c r="K27" i="17" s="1"/>
  <c r="FM28" i="14"/>
  <c r="FP27" i="14"/>
  <c r="FO27" i="14"/>
  <c r="Q25" i="17" l="1"/>
  <c r="Q27" i="17"/>
  <c r="N25" i="17"/>
  <c r="FQ27" i="14"/>
  <c r="K17" i="17" s="1"/>
  <c r="FO28" i="14"/>
  <c r="FM29" i="14"/>
  <c r="FP28" i="14"/>
  <c r="FS27" i="14" l="1"/>
  <c r="N27" i="17"/>
  <c r="FQ28" i="14"/>
  <c r="K26" i="17" s="1"/>
  <c r="FP29" i="14"/>
  <c r="FO29" i="14"/>
  <c r="Q28" i="17" l="1"/>
  <c r="Q17" i="17"/>
  <c r="FS28" i="14"/>
  <c r="N17" i="17"/>
  <c r="M17" i="17"/>
  <c r="FQ29" i="14"/>
  <c r="K20" i="17" s="1"/>
  <c r="Q29" i="17" l="1"/>
  <c r="Q26" i="17"/>
  <c r="FS29" i="14"/>
  <c r="N26" i="17"/>
  <c r="M26" i="17"/>
  <c r="Q30" i="17" l="1"/>
  <c r="Q20" i="17"/>
  <c r="N20" i="17"/>
  <c r="N2" i="17" s="1"/>
  <c r="M20" i="17"/>
  <c r="K2" i="17"/>
  <c r="L1" i="17" s="1"/>
  <c r="P2" i="17" l="1"/>
  <c r="I246" i="9" l="1"/>
  <c r="N9" i="10" l="1"/>
  <c r="N7" i="10" l="1"/>
  <c r="N8" i="10"/>
  <c r="N13" i="10"/>
  <c r="N14" i="10"/>
  <c r="N15" i="10"/>
  <c r="N25" i="10"/>
  <c r="N24" i="10"/>
  <c r="N23" i="10"/>
  <c r="AK19" i="22" l="1"/>
  <c r="Z19" i="22"/>
  <c r="P19" i="14"/>
  <c r="Z5" i="22"/>
  <c r="P5" i="14"/>
  <c r="AK5" i="22"/>
  <c r="Z10" i="22"/>
  <c r="AK10" i="22"/>
  <c r="P10" i="14"/>
  <c r="P4" i="14"/>
  <c r="AK4" i="22"/>
  <c r="Z4" i="22"/>
  <c r="AA4" i="14"/>
  <c r="AA5" i="14"/>
  <c r="AA19" i="14"/>
  <c r="AA10" i="14"/>
  <c r="GB5" i="22" l="1"/>
  <c r="AM5" i="22"/>
  <c r="AM4" i="22"/>
  <c r="GB4" i="22"/>
  <c r="GD4" i="22" s="1"/>
  <c r="GB10" i="22"/>
  <c r="AM10" i="22"/>
  <c r="GB19" i="22"/>
  <c r="AM19" i="22"/>
  <c r="FR10" i="14"/>
  <c r="AC10" i="14"/>
  <c r="FR19" i="14"/>
  <c r="AC19" i="14"/>
  <c r="AC5" i="14"/>
  <c r="FR5" i="14"/>
  <c r="FR4" i="14"/>
  <c r="AC4" i="14"/>
  <c r="GD19" i="22" l="1"/>
  <c r="GC19" i="22"/>
  <c r="GD5" i="22"/>
  <c r="GC5" i="22"/>
  <c r="GD10" i="22"/>
  <c r="GC10" i="22"/>
  <c r="FT5" i="14"/>
  <c r="FS5" i="14"/>
  <c r="FT4" i="14"/>
  <c r="FS4" i="14"/>
  <c r="FT19" i="14"/>
  <c r="FS19" i="14"/>
  <c r="FT10" i="14"/>
  <c r="FS10" i="14"/>
  <c r="B8" i="19" l="1"/>
  <c r="P16" i="17"/>
  <c r="M16" i="17"/>
  <c r="P10" i="17"/>
  <c r="M10" i="17"/>
  <c r="P22" i="17"/>
  <c r="G5" i="18"/>
  <c r="M22" i="17"/>
  <c r="N33" i="10"/>
  <c r="N34" i="10"/>
  <c r="N36" i="10"/>
  <c r="N32" i="10"/>
  <c r="N28" i="10"/>
  <c r="N29" i="10"/>
  <c r="N26" i="10"/>
  <c r="N27" i="10"/>
  <c r="N35" i="10"/>
  <c r="N37" i="10"/>
  <c r="Z20" i="22" l="1"/>
  <c r="AK20" i="22"/>
  <c r="P20" i="14"/>
  <c r="Z21" i="22"/>
  <c r="AK21" i="22"/>
  <c r="P21" i="14"/>
  <c r="AK25" i="22"/>
  <c r="P25" i="14"/>
  <c r="Z25" i="22"/>
  <c r="Z26" i="22"/>
  <c r="AK26" i="22"/>
  <c r="P26" i="14"/>
  <c r="AK23" i="22"/>
  <c r="P23" i="14"/>
  <c r="Z23" i="22"/>
  <c r="P24" i="14"/>
  <c r="AK24" i="22"/>
  <c r="Z24" i="22"/>
  <c r="AK22" i="22"/>
  <c r="P22" i="14"/>
  <c r="Z22" i="22"/>
  <c r="AA20" i="14"/>
  <c r="AA21" i="14"/>
  <c r="AA25" i="14"/>
  <c r="AA23" i="14"/>
  <c r="AA22" i="14"/>
  <c r="AA26" i="14"/>
  <c r="AA24" i="14"/>
  <c r="GB25" i="22" l="1"/>
  <c r="AM25" i="22"/>
  <c r="GB24" i="22"/>
  <c r="AM24" i="22"/>
  <c r="GB23" i="22"/>
  <c r="AM23" i="22"/>
  <c r="GB21" i="22"/>
  <c r="AM21" i="22"/>
  <c r="GB22" i="22"/>
  <c r="AM22" i="22"/>
  <c r="GB26" i="22"/>
  <c r="AM26" i="22"/>
  <c r="AM20" i="22"/>
  <c r="GB20" i="22"/>
  <c r="AK1" i="22"/>
  <c r="Z1" i="22"/>
  <c r="FR22" i="14"/>
  <c r="AC22" i="14"/>
  <c r="AC23" i="14"/>
  <c r="FR23" i="14"/>
  <c r="FR25" i="14"/>
  <c r="AC25" i="14"/>
  <c r="FR21" i="14"/>
  <c r="AC21" i="14"/>
  <c r="FR24" i="14"/>
  <c r="AC24" i="14"/>
  <c r="P1" i="14"/>
  <c r="FR26" i="14"/>
  <c r="AC26" i="14"/>
  <c r="FR20" i="14"/>
  <c r="AC20" i="14"/>
  <c r="AA1" i="14"/>
  <c r="H4" i="16" s="1"/>
  <c r="GD26" i="22" l="1"/>
  <c r="GC26" i="22"/>
  <c r="GD24" i="22"/>
  <c r="GC24" i="22"/>
  <c r="GD22" i="22"/>
  <c r="GC22" i="22"/>
  <c r="GD25" i="22"/>
  <c r="GC25" i="22"/>
  <c r="GD21" i="22"/>
  <c r="GC21" i="22"/>
  <c r="GD20" i="22"/>
  <c r="GC20" i="22"/>
  <c r="GD23" i="22"/>
  <c r="GC23" i="22"/>
  <c r="FT26" i="14"/>
  <c r="FS26" i="14"/>
  <c r="FT24" i="14"/>
  <c r="FS24" i="14"/>
  <c r="FT21" i="14"/>
  <c r="FS21" i="14"/>
  <c r="FT25" i="14"/>
  <c r="FS25" i="14"/>
  <c r="K5" i="16"/>
  <c r="L5" i="16" s="1"/>
  <c r="L4" i="16"/>
  <c r="FT23" i="14"/>
  <c r="FS23" i="14"/>
  <c r="FT20" i="14"/>
  <c r="FS20" i="14"/>
  <c r="FT22" i="14"/>
  <c r="FS22" i="14"/>
  <c r="FS1" i="14" l="1"/>
  <c r="P25" i="17"/>
  <c r="M25" i="17"/>
  <c r="P13" i="17"/>
  <c r="M13" i="17"/>
  <c r="P11" i="17"/>
  <c r="M11" i="17"/>
  <c r="P12" i="17"/>
  <c r="M12" i="17"/>
  <c r="P5" i="17"/>
  <c r="P4" i="17"/>
  <c r="P27" i="17"/>
  <c r="M27" i="17"/>
  <c r="N3" i="9" l="1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73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121" i="9"/>
  <c r="N72" i="9"/>
  <c r="N55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177" i="9"/>
  <c r="N96" i="9"/>
  <c r="N97" i="9"/>
  <c r="N180" i="9"/>
  <c r="N215" i="9"/>
  <c r="N100" i="9"/>
  <c r="N101" i="9"/>
  <c r="N102" i="9"/>
  <c r="N103" i="9"/>
  <c r="N104" i="9"/>
  <c r="N105" i="9"/>
  <c r="N233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212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95" i="9"/>
  <c r="N98" i="9"/>
  <c r="N99" i="9"/>
  <c r="N178" i="9"/>
  <c r="N181" i="9"/>
  <c r="N182" i="9"/>
  <c r="N228" i="9"/>
  <c r="N239" i="9"/>
  <c r="N240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71" i="9"/>
  <c r="N213" i="9"/>
  <c r="N214" i="9"/>
  <c r="N179" i="9"/>
  <c r="N216" i="9"/>
  <c r="N217" i="9"/>
  <c r="N218" i="9"/>
  <c r="N231" i="9"/>
  <c r="N220" i="9"/>
  <c r="N221" i="9"/>
  <c r="N222" i="9"/>
  <c r="N223" i="9"/>
  <c r="N224" i="9"/>
  <c r="N225" i="9"/>
  <c r="N226" i="9"/>
  <c r="N227" i="9"/>
  <c r="N185" i="9"/>
  <c r="N229" i="9"/>
  <c r="N230" i="9"/>
  <c r="N219" i="9"/>
  <c r="N232" i="9"/>
  <c r="N238" i="9"/>
  <c r="N234" i="9"/>
  <c r="N235" i="9"/>
  <c r="N236" i="9"/>
  <c r="N237" i="9"/>
  <c r="N106" i="9"/>
  <c r="N183" i="9"/>
  <c r="N184" i="9"/>
  <c r="N241" i="9"/>
  <c r="N242" i="9"/>
  <c r="N243" i="9"/>
  <c r="N244" i="9"/>
  <c r="N245" i="9"/>
  <c r="N2" i="9"/>
  <c r="G7" i="7" l="1"/>
  <c r="G10" i="7"/>
  <c r="G5" i="7"/>
  <c r="G33" i="7"/>
  <c r="G2" i="7"/>
  <c r="G6" i="7"/>
  <c r="G8" i="7"/>
  <c r="G9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4" i="7"/>
  <c r="G35" i="7"/>
  <c r="G36" i="7"/>
  <c r="E4" i="5" l="1"/>
  <c r="E5" i="5"/>
  <c r="E6" i="5"/>
  <c r="E7" i="5"/>
  <c r="E8" i="5"/>
  <c r="E9" i="5"/>
  <c r="E10" i="5"/>
  <c r="E11" i="5"/>
  <c r="E12" i="5"/>
  <c r="E13" i="5"/>
  <c r="G13" i="5" s="1"/>
  <c r="M13" i="5" s="1"/>
  <c r="E14" i="5"/>
  <c r="G14" i="5" s="1"/>
  <c r="M14" i="5" s="1"/>
  <c r="E3" i="5"/>
  <c r="G12" i="5"/>
  <c r="M12" i="5" s="1"/>
  <c r="G10" i="5"/>
  <c r="M10" i="5" s="1"/>
  <c r="G4" i="5"/>
  <c r="M4" i="5" s="1"/>
  <c r="AI402" i="4"/>
  <c r="AB402" i="4"/>
  <c r="AD402" i="4" s="1"/>
  <c r="Z402" i="4"/>
  <c r="Y402" i="4"/>
  <c r="H402" i="4"/>
  <c r="I402" i="4" s="1"/>
  <c r="AI401" i="4"/>
  <c r="AB401" i="4"/>
  <c r="AD401" i="4" s="1"/>
  <c r="Z401" i="4"/>
  <c r="Y401" i="4"/>
  <c r="H401" i="4"/>
  <c r="I401" i="4" s="1"/>
  <c r="AI400" i="4"/>
  <c r="AB400" i="4"/>
  <c r="AD400" i="4" s="1"/>
  <c r="Z400" i="4"/>
  <c r="Y400" i="4"/>
  <c r="H400" i="4"/>
  <c r="I400" i="4" s="1"/>
  <c r="AI399" i="4"/>
  <c r="AB399" i="4"/>
  <c r="Z399" i="4"/>
  <c r="Y399" i="4"/>
  <c r="H399" i="4"/>
  <c r="T399" i="4" s="1"/>
  <c r="AH399" i="4" s="1"/>
  <c r="AI398" i="4"/>
  <c r="AB398" i="4"/>
  <c r="AD398" i="4" s="1"/>
  <c r="Z398" i="4"/>
  <c r="Y398" i="4"/>
  <c r="H398" i="4"/>
  <c r="I398" i="4" s="1"/>
  <c r="AI397" i="4"/>
  <c r="AB397" i="4"/>
  <c r="AD397" i="4" s="1"/>
  <c r="Z397" i="4"/>
  <c r="Y397" i="4"/>
  <c r="H397" i="4"/>
  <c r="AI396" i="4"/>
  <c r="AB396" i="4"/>
  <c r="AD396" i="4" s="1"/>
  <c r="Z396" i="4"/>
  <c r="Y396" i="4"/>
  <c r="H396" i="4"/>
  <c r="T396" i="4" s="1"/>
  <c r="AH396" i="4" s="1"/>
  <c r="AI395" i="4"/>
  <c r="AB395" i="4"/>
  <c r="AD395" i="4" s="1"/>
  <c r="Z395" i="4"/>
  <c r="Y395" i="4"/>
  <c r="H395" i="4"/>
  <c r="T395" i="4" s="1"/>
  <c r="AH395" i="4" s="1"/>
  <c r="AI394" i="4"/>
  <c r="AB394" i="4"/>
  <c r="AD394" i="4" s="1"/>
  <c r="Z394" i="4"/>
  <c r="Y394" i="4"/>
  <c r="H394" i="4"/>
  <c r="I394" i="4" s="1"/>
  <c r="AI393" i="4"/>
  <c r="AH393" i="4"/>
  <c r="AB393" i="4"/>
  <c r="AE393" i="4" s="1"/>
  <c r="AF393" i="4" s="1"/>
  <c r="K393" i="4"/>
  <c r="N393" i="4" s="1"/>
  <c r="O393" i="4" s="1"/>
  <c r="H393" i="4"/>
  <c r="M393" i="4" s="1"/>
  <c r="AI392" i="4"/>
  <c r="AB392" i="4"/>
  <c r="K392" i="4"/>
  <c r="H392" i="4"/>
  <c r="I392" i="4" s="1"/>
  <c r="AI391" i="4"/>
  <c r="AB391" i="4"/>
  <c r="AD391" i="4" s="1"/>
  <c r="K391" i="4"/>
  <c r="H391" i="4"/>
  <c r="I391" i="4" s="1"/>
  <c r="AI390" i="4"/>
  <c r="AB390" i="4"/>
  <c r="AD390" i="4" s="1"/>
  <c r="K390" i="4"/>
  <c r="H390" i="4"/>
  <c r="I390" i="4" s="1"/>
  <c r="AI389" i="4"/>
  <c r="AB389" i="4"/>
  <c r="AD389" i="4" s="1"/>
  <c r="K389" i="4"/>
  <c r="H389" i="4"/>
  <c r="I389" i="4" s="1"/>
  <c r="AI388" i="4"/>
  <c r="AB388" i="4"/>
  <c r="K388" i="4"/>
  <c r="H388" i="4"/>
  <c r="T388" i="4" s="1"/>
  <c r="AI387" i="4"/>
  <c r="AB387" i="4"/>
  <c r="AD387" i="4" s="1"/>
  <c r="K387" i="4"/>
  <c r="H387" i="4"/>
  <c r="I387" i="4" s="1"/>
  <c r="AI386" i="4"/>
  <c r="AB386" i="4"/>
  <c r="K386" i="4"/>
  <c r="H386" i="4"/>
  <c r="I386" i="4" s="1"/>
  <c r="AI385" i="4"/>
  <c r="AB385" i="4"/>
  <c r="AD385" i="4" s="1"/>
  <c r="K385" i="4"/>
  <c r="H385" i="4"/>
  <c r="T385" i="4" s="1"/>
  <c r="AI384" i="4"/>
  <c r="AB384" i="4"/>
  <c r="K384" i="4"/>
  <c r="H384" i="4"/>
  <c r="AI383" i="4"/>
  <c r="AB383" i="4"/>
  <c r="AD383" i="4" s="1"/>
  <c r="K383" i="4"/>
  <c r="H383" i="4"/>
  <c r="I383" i="4" s="1"/>
  <c r="AI382" i="4"/>
  <c r="AB382" i="4"/>
  <c r="AD382" i="4" s="1"/>
  <c r="K382" i="4"/>
  <c r="H382" i="4"/>
  <c r="AI381" i="4"/>
  <c r="AB381" i="4"/>
  <c r="AD381" i="4" s="1"/>
  <c r="K381" i="4"/>
  <c r="H381" i="4"/>
  <c r="AI380" i="4"/>
  <c r="AB380" i="4"/>
  <c r="K380" i="4"/>
  <c r="H380" i="4"/>
  <c r="T380" i="4" s="1"/>
  <c r="AI379" i="4"/>
  <c r="AB379" i="4"/>
  <c r="AD379" i="4" s="1"/>
  <c r="K379" i="4"/>
  <c r="H379" i="4"/>
  <c r="AI378" i="4"/>
  <c r="AB378" i="4"/>
  <c r="K378" i="4"/>
  <c r="H378" i="4"/>
  <c r="I378" i="4" s="1"/>
  <c r="AI377" i="4"/>
  <c r="AB377" i="4"/>
  <c r="AD377" i="4" s="1"/>
  <c r="K377" i="4"/>
  <c r="H377" i="4"/>
  <c r="AI376" i="4"/>
  <c r="AB376" i="4"/>
  <c r="K376" i="4"/>
  <c r="H376" i="4"/>
  <c r="T376" i="4" s="1"/>
  <c r="AI375" i="4"/>
  <c r="AB375" i="4"/>
  <c r="K375" i="4"/>
  <c r="H375" i="4"/>
  <c r="I375" i="4" s="1"/>
  <c r="AI374" i="4"/>
  <c r="AB374" i="4"/>
  <c r="AD374" i="4" s="1"/>
  <c r="K374" i="4"/>
  <c r="H374" i="4"/>
  <c r="AI373" i="4"/>
  <c r="AB373" i="4"/>
  <c r="K373" i="4"/>
  <c r="H373" i="4"/>
  <c r="T373" i="4" s="1"/>
  <c r="AH373" i="4" s="1"/>
  <c r="AI372" i="4"/>
  <c r="AB372" i="4"/>
  <c r="AD372" i="4" s="1"/>
  <c r="K372" i="4"/>
  <c r="H372" i="4"/>
  <c r="T372" i="4" s="1"/>
  <c r="AI371" i="4"/>
  <c r="AB371" i="4"/>
  <c r="AD371" i="4" s="1"/>
  <c r="K371" i="4"/>
  <c r="H371" i="4"/>
  <c r="T371" i="4" s="1"/>
  <c r="AH371" i="4" s="1"/>
  <c r="AI370" i="4"/>
  <c r="AB370" i="4"/>
  <c r="K370" i="4"/>
  <c r="H370" i="4"/>
  <c r="T370" i="4" s="1"/>
  <c r="AH370" i="4" s="1"/>
  <c r="AI369" i="4"/>
  <c r="AB369" i="4"/>
  <c r="AD369" i="4" s="1"/>
  <c r="K369" i="4"/>
  <c r="H369" i="4"/>
  <c r="T369" i="4" s="1"/>
  <c r="AI368" i="4"/>
  <c r="AB368" i="4"/>
  <c r="K368" i="4"/>
  <c r="H368" i="4"/>
  <c r="T368" i="4" s="1"/>
  <c r="AI367" i="4"/>
  <c r="AB367" i="4"/>
  <c r="K367" i="4"/>
  <c r="H367" i="4"/>
  <c r="T367" i="4" s="1"/>
  <c r="AI366" i="4"/>
  <c r="AB366" i="4"/>
  <c r="K366" i="4"/>
  <c r="H366" i="4"/>
  <c r="AI365" i="4"/>
  <c r="AB365" i="4"/>
  <c r="K365" i="4"/>
  <c r="H365" i="4"/>
  <c r="AI364" i="4"/>
  <c r="AB364" i="4"/>
  <c r="AD364" i="4" s="1"/>
  <c r="K364" i="4"/>
  <c r="H364" i="4"/>
  <c r="AI363" i="4"/>
  <c r="AB363" i="4"/>
  <c r="K363" i="4"/>
  <c r="H363" i="4"/>
  <c r="AI362" i="4"/>
  <c r="AB362" i="4"/>
  <c r="K362" i="4"/>
  <c r="H362" i="4"/>
  <c r="AI361" i="4"/>
  <c r="AB361" i="4"/>
  <c r="AD361" i="4" s="1"/>
  <c r="K361" i="4"/>
  <c r="H361" i="4"/>
  <c r="AI360" i="4"/>
  <c r="AB360" i="4"/>
  <c r="AD360" i="4" s="1"/>
  <c r="K360" i="4"/>
  <c r="H360" i="4"/>
  <c r="T360" i="4" s="1"/>
  <c r="AI359" i="4"/>
  <c r="AB359" i="4"/>
  <c r="AD359" i="4" s="1"/>
  <c r="K359" i="4"/>
  <c r="H359" i="4"/>
  <c r="T359" i="4" s="1"/>
  <c r="AI358" i="4"/>
  <c r="AB358" i="4"/>
  <c r="AD358" i="4" s="1"/>
  <c r="K358" i="4"/>
  <c r="H358" i="4"/>
  <c r="T358" i="4" s="1"/>
  <c r="AI357" i="4"/>
  <c r="AB357" i="4"/>
  <c r="AD357" i="4" s="1"/>
  <c r="K357" i="4"/>
  <c r="H357" i="4"/>
  <c r="M357" i="4" s="1"/>
  <c r="X357" i="4" s="1"/>
  <c r="AI356" i="4"/>
  <c r="AB356" i="4"/>
  <c r="AD356" i="4" s="1"/>
  <c r="K356" i="4"/>
  <c r="H356" i="4"/>
  <c r="T356" i="4" s="1"/>
  <c r="AB355" i="4"/>
  <c r="AD355" i="4" s="1"/>
  <c r="K355" i="4"/>
  <c r="AI355" i="4" s="1"/>
  <c r="I355" i="4"/>
  <c r="H355" i="4"/>
  <c r="AB354" i="4"/>
  <c r="K354" i="4"/>
  <c r="AI354" i="4" s="1"/>
  <c r="I354" i="4"/>
  <c r="H354" i="4"/>
  <c r="T354" i="4" s="1"/>
  <c r="AB353" i="4"/>
  <c r="AD353" i="4" s="1"/>
  <c r="K353" i="4"/>
  <c r="I353" i="4"/>
  <c r="H353" i="4"/>
  <c r="T353" i="4" s="1"/>
  <c r="AB352" i="4"/>
  <c r="K352" i="4"/>
  <c r="AI352" i="4" s="1"/>
  <c r="I352" i="4"/>
  <c r="H352" i="4"/>
  <c r="T352" i="4" s="1"/>
  <c r="AB351" i="4"/>
  <c r="K351" i="4"/>
  <c r="AI351" i="4" s="1"/>
  <c r="I351" i="4"/>
  <c r="H351" i="4"/>
  <c r="T351" i="4" s="1"/>
  <c r="AB350" i="4"/>
  <c r="AD350" i="4" s="1"/>
  <c r="K350" i="4"/>
  <c r="I350" i="4"/>
  <c r="H350" i="4"/>
  <c r="AB349" i="4"/>
  <c r="K349" i="4"/>
  <c r="AI349" i="4" s="1"/>
  <c r="I349" i="4"/>
  <c r="H349" i="4"/>
  <c r="T349" i="4" s="1"/>
  <c r="AB348" i="4"/>
  <c r="AD348" i="4" s="1"/>
  <c r="K348" i="4"/>
  <c r="AI348" i="4" s="1"/>
  <c r="I348" i="4"/>
  <c r="H348" i="4"/>
  <c r="T348" i="4" s="1"/>
  <c r="AB347" i="4"/>
  <c r="AD347" i="4" s="1"/>
  <c r="K347" i="4"/>
  <c r="AI347" i="4" s="1"/>
  <c r="I347" i="4"/>
  <c r="H347" i="4"/>
  <c r="T347" i="4" s="1"/>
  <c r="AB346" i="4"/>
  <c r="K346" i="4"/>
  <c r="AI346" i="4" s="1"/>
  <c r="I346" i="4"/>
  <c r="H346" i="4"/>
  <c r="AB345" i="4"/>
  <c r="AD345" i="4" s="1"/>
  <c r="K345" i="4"/>
  <c r="AI345" i="4" s="1"/>
  <c r="I345" i="4"/>
  <c r="H345" i="4"/>
  <c r="T345" i="4" s="1"/>
  <c r="AB344" i="4"/>
  <c r="AD344" i="4" s="1"/>
  <c r="K344" i="4"/>
  <c r="I344" i="4"/>
  <c r="H344" i="4"/>
  <c r="AB343" i="4"/>
  <c r="K343" i="4"/>
  <c r="I343" i="4"/>
  <c r="H343" i="4"/>
  <c r="T343" i="4" s="1"/>
  <c r="AB342" i="4"/>
  <c r="AD342" i="4" s="1"/>
  <c r="K342" i="4"/>
  <c r="AI342" i="4" s="1"/>
  <c r="I342" i="4"/>
  <c r="H342" i="4"/>
  <c r="T342" i="4" s="1"/>
  <c r="AB341" i="4"/>
  <c r="K341" i="4"/>
  <c r="AI341" i="4" s="1"/>
  <c r="I341" i="4"/>
  <c r="H341" i="4"/>
  <c r="AB340" i="4"/>
  <c r="AD340" i="4" s="1"/>
  <c r="K340" i="4"/>
  <c r="AI340" i="4" s="1"/>
  <c r="I340" i="4"/>
  <c r="H340" i="4"/>
  <c r="T340" i="4" s="1"/>
  <c r="AB339" i="4"/>
  <c r="AD339" i="4" s="1"/>
  <c r="K339" i="4"/>
  <c r="AI339" i="4" s="1"/>
  <c r="I339" i="4"/>
  <c r="H339" i="4"/>
  <c r="AB338" i="4"/>
  <c r="K338" i="4"/>
  <c r="I338" i="4"/>
  <c r="H338" i="4"/>
  <c r="T338" i="4" s="1"/>
  <c r="AB337" i="4"/>
  <c r="K337" i="4"/>
  <c r="AI337" i="4" s="1"/>
  <c r="I337" i="4"/>
  <c r="H337" i="4"/>
  <c r="T337" i="4" s="1"/>
  <c r="AB336" i="4"/>
  <c r="AD336" i="4" s="1"/>
  <c r="K336" i="4"/>
  <c r="I336" i="4"/>
  <c r="H336" i="4"/>
  <c r="AB335" i="4"/>
  <c r="K335" i="4"/>
  <c r="AI335" i="4" s="1"/>
  <c r="I335" i="4"/>
  <c r="H335" i="4"/>
  <c r="T335" i="4" s="1"/>
  <c r="AB334" i="4"/>
  <c r="K334" i="4"/>
  <c r="I334" i="4"/>
  <c r="H334" i="4"/>
  <c r="AB333" i="4"/>
  <c r="K333" i="4"/>
  <c r="AI333" i="4" s="1"/>
  <c r="I333" i="4"/>
  <c r="H333" i="4"/>
  <c r="T333" i="4" s="1"/>
  <c r="AB332" i="4"/>
  <c r="AD332" i="4" s="1"/>
  <c r="K332" i="4"/>
  <c r="AI332" i="4" s="1"/>
  <c r="I332" i="4"/>
  <c r="H332" i="4"/>
  <c r="T332" i="4" s="1"/>
  <c r="AB331" i="4"/>
  <c r="AD331" i="4" s="1"/>
  <c r="K331" i="4"/>
  <c r="AI331" i="4" s="1"/>
  <c r="I331" i="4"/>
  <c r="H331" i="4"/>
  <c r="T331" i="4" s="1"/>
  <c r="AB330" i="4"/>
  <c r="K330" i="4"/>
  <c r="AI330" i="4" s="1"/>
  <c r="I330" i="4"/>
  <c r="H330" i="4"/>
  <c r="T330" i="4" s="1"/>
  <c r="AB329" i="4"/>
  <c r="AE329" i="4" s="1"/>
  <c r="AF329" i="4" s="1"/>
  <c r="K329" i="4"/>
  <c r="AI329" i="4" s="1"/>
  <c r="I329" i="4"/>
  <c r="H329" i="4"/>
  <c r="T329" i="4" s="1"/>
  <c r="AB328" i="4"/>
  <c r="K328" i="4"/>
  <c r="AI328" i="4" s="1"/>
  <c r="I328" i="4"/>
  <c r="H328" i="4"/>
  <c r="T328" i="4" s="1"/>
  <c r="AB327" i="4"/>
  <c r="AD327" i="4" s="1"/>
  <c r="K327" i="4"/>
  <c r="I327" i="4"/>
  <c r="H327" i="4"/>
  <c r="T327" i="4" s="1"/>
  <c r="AB326" i="4"/>
  <c r="AD326" i="4" s="1"/>
  <c r="K326" i="4"/>
  <c r="I326" i="4"/>
  <c r="H326" i="4"/>
  <c r="AB325" i="4"/>
  <c r="K325" i="4"/>
  <c r="AI325" i="4" s="1"/>
  <c r="I325" i="4"/>
  <c r="H325" i="4"/>
  <c r="T325" i="4" s="1"/>
  <c r="AB324" i="4"/>
  <c r="AD324" i="4" s="1"/>
  <c r="K324" i="4"/>
  <c r="AI324" i="4" s="1"/>
  <c r="I324" i="4"/>
  <c r="H324" i="4"/>
  <c r="T324" i="4" s="1"/>
  <c r="AB323" i="4"/>
  <c r="AD323" i="4" s="1"/>
  <c r="K323" i="4"/>
  <c r="AI323" i="4" s="1"/>
  <c r="I323" i="4"/>
  <c r="H323" i="4"/>
  <c r="AB322" i="4"/>
  <c r="K322" i="4"/>
  <c r="AI322" i="4" s="1"/>
  <c r="I322" i="4"/>
  <c r="H322" i="4"/>
  <c r="T322" i="4" s="1"/>
  <c r="AB321" i="4"/>
  <c r="AD321" i="4" s="1"/>
  <c r="K321" i="4"/>
  <c r="AI321" i="4" s="1"/>
  <c r="I321" i="4"/>
  <c r="H321" i="4"/>
  <c r="T321" i="4" s="1"/>
  <c r="AB320" i="4"/>
  <c r="K320" i="4"/>
  <c r="AI320" i="4" s="1"/>
  <c r="I320" i="4"/>
  <c r="H320" i="4"/>
  <c r="T320" i="4" s="1"/>
  <c r="AB319" i="4"/>
  <c r="AD319" i="4" s="1"/>
  <c r="K319" i="4"/>
  <c r="AI319" i="4" s="1"/>
  <c r="I319" i="4"/>
  <c r="H319" i="4"/>
  <c r="T319" i="4" s="1"/>
  <c r="AB318" i="4"/>
  <c r="AD318" i="4" s="1"/>
  <c r="K318" i="4"/>
  <c r="I318" i="4"/>
  <c r="H318" i="4"/>
  <c r="AB317" i="4"/>
  <c r="K317" i="4"/>
  <c r="AI317" i="4" s="1"/>
  <c r="I317" i="4"/>
  <c r="H317" i="4"/>
  <c r="T317" i="4" s="1"/>
  <c r="AB316" i="4"/>
  <c r="AD316" i="4" s="1"/>
  <c r="K316" i="4"/>
  <c r="I316" i="4"/>
  <c r="H316" i="4"/>
  <c r="T316" i="4" s="1"/>
  <c r="AB315" i="4"/>
  <c r="AD315" i="4" s="1"/>
  <c r="K315" i="4"/>
  <c r="AI315" i="4" s="1"/>
  <c r="I315" i="4"/>
  <c r="H315" i="4"/>
  <c r="AB314" i="4"/>
  <c r="K314" i="4"/>
  <c r="AI314" i="4" s="1"/>
  <c r="I314" i="4"/>
  <c r="H314" i="4"/>
  <c r="T314" i="4" s="1"/>
  <c r="AB313" i="4"/>
  <c r="AD313" i="4" s="1"/>
  <c r="K313" i="4"/>
  <c r="AI313" i="4" s="1"/>
  <c r="I313" i="4"/>
  <c r="H313" i="4"/>
  <c r="T313" i="4" s="1"/>
  <c r="AB312" i="4"/>
  <c r="K312" i="4"/>
  <c r="AI312" i="4" s="1"/>
  <c r="I312" i="4"/>
  <c r="H312" i="4"/>
  <c r="T312" i="4" s="1"/>
  <c r="AB311" i="4"/>
  <c r="AD311" i="4" s="1"/>
  <c r="K311" i="4"/>
  <c r="AI311" i="4" s="1"/>
  <c r="I311" i="4"/>
  <c r="H311" i="4"/>
  <c r="T311" i="4" s="1"/>
  <c r="AB310" i="4"/>
  <c r="AD310" i="4" s="1"/>
  <c r="K310" i="4"/>
  <c r="AI310" i="4" s="1"/>
  <c r="I310" i="4"/>
  <c r="H310" i="4"/>
  <c r="T310" i="4" s="1"/>
  <c r="AB309" i="4"/>
  <c r="AD309" i="4" s="1"/>
  <c r="K309" i="4"/>
  <c r="AI309" i="4" s="1"/>
  <c r="I309" i="4"/>
  <c r="H309" i="4"/>
  <c r="T309" i="4" s="1"/>
  <c r="AB308" i="4"/>
  <c r="AD308" i="4" s="1"/>
  <c r="K308" i="4"/>
  <c r="AI308" i="4" s="1"/>
  <c r="I308" i="4"/>
  <c r="H308" i="4"/>
  <c r="T308" i="4" s="1"/>
  <c r="AB307" i="4"/>
  <c r="AD307" i="4" s="1"/>
  <c r="K307" i="4"/>
  <c r="AI307" i="4" s="1"/>
  <c r="I307" i="4"/>
  <c r="H307" i="4"/>
  <c r="T307" i="4" s="1"/>
  <c r="AB306" i="4"/>
  <c r="AD306" i="4" s="1"/>
  <c r="K306" i="4"/>
  <c r="I306" i="4"/>
  <c r="H306" i="4"/>
  <c r="T306" i="4" s="1"/>
  <c r="AB305" i="4"/>
  <c r="K305" i="4"/>
  <c r="I305" i="4"/>
  <c r="H305" i="4"/>
  <c r="T305" i="4" s="1"/>
  <c r="AB304" i="4"/>
  <c r="AD304" i="4" s="1"/>
  <c r="K304" i="4"/>
  <c r="AI304" i="4" s="1"/>
  <c r="I304" i="4"/>
  <c r="H304" i="4"/>
  <c r="T304" i="4" s="1"/>
  <c r="AB303" i="4"/>
  <c r="AD303" i="4" s="1"/>
  <c r="K303" i="4"/>
  <c r="I303" i="4"/>
  <c r="H303" i="4"/>
  <c r="T303" i="4" s="1"/>
  <c r="AB302" i="4"/>
  <c r="K302" i="4"/>
  <c r="AI302" i="4" s="1"/>
  <c r="I302" i="4"/>
  <c r="H302" i="4"/>
  <c r="T302" i="4" s="1"/>
  <c r="AB301" i="4"/>
  <c r="AD301" i="4" s="1"/>
  <c r="K301" i="4"/>
  <c r="I301" i="4"/>
  <c r="H301" i="4"/>
  <c r="T301" i="4" s="1"/>
  <c r="AB300" i="4"/>
  <c r="AD300" i="4" s="1"/>
  <c r="K300" i="4"/>
  <c r="AI300" i="4" s="1"/>
  <c r="I300" i="4"/>
  <c r="H300" i="4"/>
  <c r="AB299" i="4"/>
  <c r="K299" i="4"/>
  <c r="I299" i="4"/>
  <c r="H299" i="4"/>
  <c r="T299" i="4" s="1"/>
  <c r="AB298" i="4"/>
  <c r="K298" i="4"/>
  <c r="AI298" i="4" s="1"/>
  <c r="I298" i="4"/>
  <c r="H298" i="4"/>
  <c r="AB297" i="4"/>
  <c r="K297" i="4"/>
  <c r="I297" i="4"/>
  <c r="H297" i="4"/>
  <c r="T297" i="4" s="1"/>
  <c r="AB296" i="4"/>
  <c r="AD296" i="4" s="1"/>
  <c r="K296" i="4"/>
  <c r="AI296" i="4" s="1"/>
  <c r="I296" i="4"/>
  <c r="H296" i="4"/>
  <c r="T296" i="4" s="1"/>
  <c r="AB295" i="4"/>
  <c r="AD295" i="4" s="1"/>
  <c r="K295" i="4"/>
  <c r="I295" i="4"/>
  <c r="H295" i="4"/>
  <c r="T295" i="4" s="1"/>
  <c r="AB294" i="4"/>
  <c r="AD294" i="4" s="1"/>
  <c r="K294" i="4"/>
  <c r="I294" i="4"/>
  <c r="H294" i="4"/>
  <c r="T294" i="4" s="1"/>
  <c r="AB293" i="4"/>
  <c r="K293" i="4"/>
  <c r="AI293" i="4" s="1"/>
  <c r="I293" i="4"/>
  <c r="H293" i="4"/>
  <c r="AB292" i="4"/>
  <c r="K292" i="4"/>
  <c r="I292" i="4"/>
  <c r="H292" i="4"/>
  <c r="T292" i="4" s="1"/>
  <c r="AB291" i="4"/>
  <c r="AD291" i="4" s="1"/>
  <c r="K291" i="4"/>
  <c r="AI291" i="4" s="1"/>
  <c r="I291" i="4"/>
  <c r="H291" i="4"/>
  <c r="AB290" i="4"/>
  <c r="AD290" i="4" s="1"/>
  <c r="K290" i="4"/>
  <c r="AI290" i="4" s="1"/>
  <c r="I290" i="4"/>
  <c r="H290" i="4"/>
  <c r="AB289" i="4"/>
  <c r="K289" i="4"/>
  <c r="I289" i="4"/>
  <c r="H289" i="4"/>
  <c r="T289" i="4" s="1"/>
  <c r="AB288" i="4"/>
  <c r="AD288" i="4" s="1"/>
  <c r="K288" i="4"/>
  <c r="I288" i="4"/>
  <c r="H288" i="4"/>
  <c r="T288" i="4" s="1"/>
  <c r="AB287" i="4"/>
  <c r="AD287" i="4" s="1"/>
  <c r="K287" i="4"/>
  <c r="I287" i="4"/>
  <c r="H287" i="4"/>
  <c r="T287" i="4" s="1"/>
  <c r="AB286" i="4"/>
  <c r="AD286" i="4" s="1"/>
  <c r="K286" i="4"/>
  <c r="I286" i="4"/>
  <c r="H286" i="4"/>
  <c r="T286" i="4" s="1"/>
  <c r="AB285" i="4"/>
  <c r="AD285" i="4" s="1"/>
  <c r="K285" i="4"/>
  <c r="AI285" i="4" s="1"/>
  <c r="I285" i="4"/>
  <c r="H285" i="4"/>
  <c r="T285" i="4" s="1"/>
  <c r="AB284" i="4"/>
  <c r="K284" i="4"/>
  <c r="I284" i="4"/>
  <c r="H284" i="4"/>
  <c r="T284" i="4" s="1"/>
  <c r="AB283" i="4"/>
  <c r="AD283" i="4" s="1"/>
  <c r="K283" i="4"/>
  <c r="AI283" i="4" s="1"/>
  <c r="I283" i="4"/>
  <c r="H283" i="4"/>
  <c r="T283" i="4" s="1"/>
  <c r="AB282" i="4"/>
  <c r="K282" i="4"/>
  <c r="AI282" i="4" s="1"/>
  <c r="I282" i="4"/>
  <c r="H282" i="4"/>
  <c r="AB281" i="4"/>
  <c r="K281" i="4"/>
  <c r="I281" i="4"/>
  <c r="H281" i="4"/>
  <c r="T281" i="4" s="1"/>
  <c r="AB280" i="4"/>
  <c r="AD280" i="4" s="1"/>
  <c r="K280" i="4"/>
  <c r="AI280" i="4" s="1"/>
  <c r="I280" i="4"/>
  <c r="H280" i="4"/>
  <c r="T280" i="4" s="1"/>
  <c r="AB279" i="4"/>
  <c r="K279" i="4"/>
  <c r="AI279" i="4" s="1"/>
  <c r="I279" i="4"/>
  <c r="H279" i="4"/>
  <c r="T279" i="4" s="1"/>
  <c r="AB278" i="4"/>
  <c r="AD278" i="4" s="1"/>
  <c r="K278" i="4"/>
  <c r="U278" i="4" s="1"/>
  <c r="H278" i="4"/>
  <c r="AB277" i="4"/>
  <c r="AD277" i="4" s="1"/>
  <c r="K277" i="4"/>
  <c r="AI277" i="4" s="1"/>
  <c r="I277" i="4"/>
  <c r="H277" i="4"/>
  <c r="T277" i="4" s="1"/>
  <c r="AB276" i="4"/>
  <c r="AD276" i="4" s="1"/>
  <c r="K276" i="4"/>
  <c r="I276" i="4"/>
  <c r="H276" i="4"/>
  <c r="T276" i="4" s="1"/>
  <c r="AB275" i="4"/>
  <c r="AD275" i="4" s="1"/>
  <c r="K275" i="4"/>
  <c r="AI275" i="4" s="1"/>
  <c r="I275" i="4"/>
  <c r="H275" i="4"/>
  <c r="T275" i="4" s="1"/>
  <c r="AB274" i="4"/>
  <c r="AD274" i="4" s="1"/>
  <c r="K274" i="4"/>
  <c r="AI274" i="4" s="1"/>
  <c r="I274" i="4"/>
  <c r="H274" i="4"/>
  <c r="T274" i="4" s="1"/>
  <c r="AB273" i="4"/>
  <c r="AD273" i="4" s="1"/>
  <c r="K273" i="4"/>
  <c r="AI273" i="4" s="1"/>
  <c r="I273" i="4"/>
  <c r="H273" i="4"/>
  <c r="T273" i="4" s="1"/>
  <c r="AB272" i="4"/>
  <c r="AD272" i="4" s="1"/>
  <c r="K272" i="4"/>
  <c r="AI272" i="4" s="1"/>
  <c r="I272" i="4"/>
  <c r="H272" i="4"/>
  <c r="T272" i="4" s="1"/>
  <c r="AB271" i="4"/>
  <c r="AD271" i="4" s="1"/>
  <c r="K271" i="4"/>
  <c r="AI271" i="4" s="1"/>
  <c r="I271" i="4"/>
  <c r="H271" i="4"/>
  <c r="T271" i="4" s="1"/>
  <c r="AB270" i="4"/>
  <c r="AD270" i="4" s="1"/>
  <c r="K270" i="4"/>
  <c r="AI270" i="4" s="1"/>
  <c r="I270" i="4"/>
  <c r="H270" i="4"/>
  <c r="AB269" i="4"/>
  <c r="K269" i="4"/>
  <c r="AI269" i="4" s="1"/>
  <c r="I269" i="4"/>
  <c r="H269" i="4"/>
  <c r="T269" i="4" s="1"/>
  <c r="AB268" i="4"/>
  <c r="AD268" i="4" s="1"/>
  <c r="K268" i="4"/>
  <c r="I268" i="4"/>
  <c r="H268" i="4"/>
  <c r="T268" i="4" s="1"/>
  <c r="AB267" i="4"/>
  <c r="AD267" i="4" s="1"/>
  <c r="K267" i="4"/>
  <c r="AI267" i="4" s="1"/>
  <c r="I267" i="4"/>
  <c r="H267" i="4"/>
  <c r="T267" i="4" s="1"/>
  <c r="AB266" i="4"/>
  <c r="AD266" i="4" s="1"/>
  <c r="K266" i="4"/>
  <c r="AI266" i="4" s="1"/>
  <c r="I266" i="4"/>
  <c r="H266" i="4"/>
  <c r="T266" i="4" s="1"/>
  <c r="AB265" i="4"/>
  <c r="K265" i="4"/>
  <c r="I265" i="4"/>
  <c r="H265" i="4"/>
  <c r="T265" i="4" s="1"/>
  <c r="AB264" i="4"/>
  <c r="K264" i="4"/>
  <c r="I264" i="4"/>
  <c r="H264" i="4"/>
  <c r="T264" i="4" s="1"/>
  <c r="AB263" i="4"/>
  <c r="AD263" i="4" s="1"/>
  <c r="K263" i="4"/>
  <c r="AI263" i="4" s="1"/>
  <c r="I263" i="4"/>
  <c r="H263" i="4"/>
  <c r="T263" i="4" s="1"/>
  <c r="AB262" i="4"/>
  <c r="AD262" i="4" s="1"/>
  <c r="K262" i="4"/>
  <c r="AI262" i="4" s="1"/>
  <c r="I262" i="4"/>
  <c r="H262" i="4"/>
  <c r="AB261" i="4"/>
  <c r="K261" i="4"/>
  <c r="AI261" i="4" s="1"/>
  <c r="I261" i="4"/>
  <c r="H261" i="4"/>
  <c r="T261" i="4" s="1"/>
  <c r="AB260" i="4"/>
  <c r="AD260" i="4" s="1"/>
  <c r="K260" i="4"/>
  <c r="AI260" i="4" s="1"/>
  <c r="I260" i="4"/>
  <c r="H260" i="4"/>
  <c r="T260" i="4" s="1"/>
  <c r="AB259" i="4"/>
  <c r="AD259" i="4" s="1"/>
  <c r="K259" i="4"/>
  <c r="AI259" i="4" s="1"/>
  <c r="I259" i="4"/>
  <c r="H259" i="4"/>
  <c r="AB258" i="4"/>
  <c r="AE258" i="4" s="1"/>
  <c r="AF258" i="4" s="1"/>
  <c r="K258" i="4"/>
  <c r="AI258" i="4" s="1"/>
  <c r="I258" i="4"/>
  <c r="H258" i="4"/>
  <c r="T258" i="4" s="1"/>
  <c r="AB257" i="4"/>
  <c r="AD257" i="4" s="1"/>
  <c r="K257" i="4"/>
  <c r="I257" i="4"/>
  <c r="H257" i="4"/>
  <c r="T257" i="4" s="1"/>
  <c r="AB256" i="4"/>
  <c r="AD256" i="4" s="1"/>
  <c r="K256" i="4"/>
  <c r="AI256" i="4" s="1"/>
  <c r="I256" i="4"/>
  <c r="H256" i="4"/>
  <c r="T256" i="4" s="1"/>
  <c r="AB255" i="4"/>
  <c r="AD255" i="4" s="1"/>
  <c r="K255" i="4"/>
  <c r="AI255" i="4" s="1"/>
  <c r="I255" i="4"/>
  <c r="H255" i="4"/>
  <c r="T255" i="4" s="1"/>
  <c r="AB254" i="4"/>
  <c r="AD254" i="4" s="1"/>
  <c r="K254" i="4"/>
  <c r="AI254" i="4" s="1"/>
  <c r="I254" i="4"/>
  <c r="H254" i="4"/>
  <c r="T254" i="4" s="1"/>
  <c r="AB253" i="4"/>
  <c r="AE253" i="4" s="1"/>
  <c r="AF253" i="4" s="1"/>
  <c r="K253" i="4"/>
  <c r="AI253" i="4" s="1"/>
  <c r="I253" i="4"/>
  <c r="H253" i="4"/>
  <c r="T253" i="4" s="1"/>
  <c r="AB252" i="4"/>
  <c r="AD252" i="4" s="1"/>
  <c r="K252" i="4"/>
  <c r="AI252" i="4" s="1"/>
  <c r="I252" i="4"/>
  <c r="H252" i="4"/>
  <c r="T252" i="4" s="1"/>
  <c r="AB251" i="4"/>
  <c r="AD251" i="4" s="1"/>
  <c r="K251" i="4"/>
  <c r="AI251" i="4" s="1"/>
  <c r="I251" i="4"/>
  <c r="H251" i="4"/>
  <c r="T251" i="4" s="1"/>
  <c r="AB250" i="4"/>
  <c r="AD250" i="4" s="1"/>
  <c r="K250" i="4"/>
  <c r="I250" i="4"/>
  <c r="H250" i="4"/>
  <c r="T250" i="4" s="1"/>
  <c r="AB249" i="4"/>
  <c r="AD249" i="4" s="1"/>
  <c r="K249" i="4"/>
  <c r="AI249" i="4" s="1"/>
  <c r="I249" i="4"/>
  <c r="H249" i="4"/>
  <c r="AB248" i="4"/>
  <c r="AD248" i="4" s="1"/>
  <c r="K248" i="4"/>
  <c r="I248" i="4"/>
  <c r="H248" i="4"/>
  <c r="T248" i="4" s="1"/>
  <c r="AB247" i="4"/>
  <c r="AD247" i="4" s="1"/>
  <c r="K247" i="4"/>
  <c r="AI247" i="4" s="1"/>
  <c r="I247" i="4"/>
  <c r="H247" i="4"/>
  <c r="T247" i="4" s="1"/>
  <c r="AB246" i="4"/>
  <c r="AD246" i="4" s="1"/>
  <c r="K246" i="4"/>
  <c r="AI246" i="4" s="1"/>
  <c r="I246" i="4"/>
  <c r="H246" i="4"/>
  <c r="AB245" i="4"/>
  <c r="AD245" i="4" s="1"/>
  <c r="K245" i="4"/>
  <c r="AI245" i="4" s="1"/>
  <c r="I245" i="4"/>
  <c r="H245" i="4"/>
  <c r="T245" i="4" s="1"/>
  <c r="AB244" i="4"/>
  <c r="K244" i="4"/>
  <c r="I244" i="4"/>
  <c r="H244" i="4"/>
  <c r="T244" i="4" s="1"/>
  <c r="AB243" i="4"/>
  <c r="AD243" i="4" s="1"/>
  <c r="K243" i="4"/>
  <c r="I243" i="4"/>
  <c r="H243" i="4"/>
  <c r="T243" i="4" s="1"/>
  <c r="AB242" i="4"/>
  <c r="AD242" i="4" s="1"/>
  <c r="K242" i="4"/>
  <c r="I242" i="4"/>
  <c r="H242" i="4"/>
  <c r="AB241" i="4"/>
  <c r="AD241" i="4" s="1"/>
  <c r="K241" i="4"/>
  <c r="AI241" i="4" s="1"/>
  <c r="I241" i="4"/>
  <c r="H241" i="4"/>
  <c r="T241" i="4" s="1"/>
  <c r="AB240" i="4"/>
  <c r="AD240" i="4" s="1"/>
  <c r="K240" i="4"/>
  <c r="I240" i="4"/>
  <c r="H240" i="4"/>
  <c r="AB239" i="4"/>
  <c r="K239" i="4"/>
  <c r="AI239" i="4" s="1"/>
  <c r="I239" i="4"/>
  <c r="H239" i="4"/>
  <c r="T239" i="4" s="1"/>
  <c r="AB238" i="4"/>
  <c r="AD238" i="4" s="1"/>
  <c r="K238" i="4"/>
  <c r="I238" i="4"/>
  <c r="H238" i="4"/>
  <c r="T238" i="4" s="1"/>
  <c r="AB237" i="4"/>
  <c r="AD237" i="4" s="1"/>
  <c r="K237" i="4"/>
  <c r="AI237" i="4" s="1"/>
  <c r="I237" i="4"/>
  <c r="H237" i="4"/>
  <c r="AB236" i="4"/>
  <c r="K236" i="4"/>
  <c r="I236" i="4"/>
  <c r="H236" i="4"/>
  <c r="T236" i="4" s="1"/>
  <c r="AB235" i="4"/>
  <c r="AD235" i="4" s="1"/>
  <c r="K235" i="4"/>
  <c r="AI235" i="4" s="1"/>
  <c r="I235" i="4"/>
  <c r="H235" i="4"/>
  <c r="T235" i="4" s="1"/>
  <c r="AB234" i="4"/>
  <c r="K234" i="4"/>
  <c r="AI234" i="4" s="1"/>
  <c r="I234" i="4"/>
  <c r="H234" i="4"/>
  <c r="T234" i="4" s="1"/>
  <c r="AB233" i="4"/>
  <c r="AD233" i="4" s="1"/>
  <c r="K233" i="4"/>
  <c r="I233" i="4"/>
  <c r="H233" i="4"/>
  <c r="AB232" i="4"/>
  <c r="AE232" i="4" s="1"/>
  <c r="AF232" i="4" s="1"/>
  <c r="K232" i="4"/>
  <c r="I232" i="4"/>
  <c r="H232" i="4"/>
  <c r="AB231" i="4"/>
  <c r="K231" i="4"/>
  <c r="AI231" i="4" s="1"/>
  <c r="I231" i="4"/>
  <c r="H231" i="4"/>
  <c r="T231" i="4" s="1"/>
  <c r="AB230" i="4"/>
  <c r="AD230" i="4" s="1"/>
  <c r="K230" i="4"/>
  <c r="I230" i="4"/>
  <c r="H230" i="4"/>
  <c r="T230" i="4" s="1"/>
  <c r="AB229" i="4"/>
  <c r="AD229" i="4" s="1"/>
  <c r="K229" i="4"/>
  <c r="AI229" i="4" s="1"/>
  <c r="I229" i="4"/>
  <c r="H229" i="4"/>
  <c r="T229" i="4" s="1"/>
  <c r="AB228" i="4"/>
  <c r="K228" i="4"/>
  <c r="I228" i="4"/>
  <c r="H228" i="4"/>
  <c r="T228" i="4" s="1"/>
  <c r="AB227" i="4"/>
  <c r="AD227" i="4" s="1"/>
  <c r="K227" i="4"/>
  <c r="AI227" i="4" s="1"/>
  <c r="I227" i="4"/>
  <c r="H227" i="4"/>
  <c r="T227" i="4" s="1"/>
  <c r="AB226" i="4"/>
  <c r="AD226" i="4" s="1"/>
  <c r="K226" i="4"/>
  <c r="AI226" i="4" s="1"/>
  <c r="I226" i="4"/>
  <c r="H226" i="4"/>
  <c r="T226" i="4" s="1"/>
  <c r="AB225" i="4"/>
  <c r="AD225" i="4" s="1"/>
  <c r="K225" i="4"/>
  <c r="AI225" i="4" s="1"/>
  <c r="I225" i="4"/>
  <c r="H225" i="4"/>
  <c r="T225" i="4" s="1"/>
  <c r="AB224" i="4"/>
  <c r="K224" i="4"/>
  <c r="AI224" i="4" s="1"/>
  <c r="I224" i="4"/>
  <c r="H224" i="4"/>
  <c r="T224" i="4" s="1"/>
  <c r="AB223" i="4"/>
  <c r="K223" i="4"/>
  <c r="AI223" i="4" s="1"/>
  <c r="I223" i="4"/>
  <c r="H223" i="4"/>
  <c r="T223" i="4" s="1"/>
  <c r="AB222" i="4"/>
  <c r="K222" i="4"/>
  <c r="I222" i="4"/>
  <c r="H222" i="4"/>
  <c r="T222" i="4" s="1"/>
  <c r="AB221" i="4"/>
  <c r="AD221" i="4" s="1"/>
  <c r="K221" i="4"/>
  <c r="AI221" i="4" s="1"/>
  <c r="I221" i="4"/>
  <c r="H221" i="4"/>
  <c r="T221" i="4" s="1"/>
  <c r="AB220" i="4"/>
  <c r="AD220" i="4" s="1"/>
  <c r="K220" i="4"/>
  <c r="I220" i="4"/>
  <c r="H220" i="4"/>
  <c r="T220" i="4" s="1"/>
  <c r="AB219" i="4"/>
  <c r="K219" i="4"/>
  <c r="AI219" i="4" s="1"/>
  <c r="I219" i="4"/>
  <c r="H219" i="4"/>
  <c r="T219" i="4" s="1"/>
  <c r="AB218" i="4"/>
  <c r="AD218" i="4" s="1"/>
  <c r="K218" i="4"/>
  <c r="AI218" i="4" s="1"/>
  <c r="I218" i="4"/>
  <c r="H218" i="4"/>
  <c r="AB217" i="4"/>
  <c r="AD217" i="4" s="1"/>
  <c r="K217" i="4"/>
  <c r="AI217" i="4" s="1"/>
  <c r="I217" i="4"/>
  <c r="H217" i="4"/>
  <c r="T217" i="4" s="1"/>
  <c r="AB216" i="4"/>
  <c r="AD216" i="4" s="1"/>
  <c r="K216" i="4"/>
  <c r="AI216" i="4" s="1"/>
  <c r="I216" i="4"/>
  <c r="H216" i="4"/>
  <c r="T216" i="4" s="1"/>
  <c r="AB215" i="4"/>
  <c r="AD215" i="4" s="1"/>
  <c r="K215" i="4"/>
  <c r="AI215" i="4" s="1"/>
  <c r="I215" i="4"/>
  <c r="H215" i="4"/>
  <c r="AB214" i="4"/>
  <c r="AD214" i="4" s="1"/>
  <c r="K214" i="4"/>
  <c r="AI214" i="4" s="1"/>
  <c r="I214" i="4"/>
  <c r="H214" i="4"/>
  <c r="AB213" i="4"/>
  <c r="AD213" i="4" s="1"/>
  <c r="K213" i="4"/>
  <c r="I213" i="4"/>
  <c r="H213" i="4"/>
  <c r="T213" i="4" s="1"/>
  <c r="AB212" i="4"/>
  <c r="K212" i="4"/>
  <c r="AI212" i="4" s="1"/>
  <c r="I212" i="4"/>
  <c r="H212" i="4"/>
  <c r="AB211" i="4"/>
  <c r="AD211" i="4" s="1"/>
  <c r="K211" i="4"/>
  <c r="AI211" i="4" s="1"/>
  <c r="I211" i="4"/>
  <c r="H211" i="4"/>
  <c r="T211" i="4" s="1"/>
  <c r="AB210" i="4"/>
  <c r="AD210" i="4" s="1"/>
  <c r="K210" i="4"/>
  <c r="AI210" i="4" s="1"/>
  <c r="I210" i="4"/>
  <c r="H210" i="4"/>
  <c r="AB209" i="4"/>
  <c r="K209" i="4"/>
  <c r="AI209" i="4" s="1"/>
  <c r="I209" i="4"/>
  <c r="H209" i="4"/>
  <c r="T209" i="4" s="1"/>
  <c r="AB208" i="4"/>
  <c r="K208" i="4"/>
  <c r="I208" i="4"/>
  <c r="H208" i="4"/>
  <c r="T208" i="4" s="1"/>
  <c r="AB207" i="4"/>
  <c r="AD207" i="4" s="1"/>
  <c r="K207" i="4"/>
  <c r="I207" i="4"/>
  <c r="H207" i="4"/>
  <c r="T207" i="4" s="1"/>
  <c r="AB206" i="4"/>
  <c r="AD206" i="4" s="1"/>
  <c r="K206" i="4"/>
  <c r="I206" i="4"/>
  <c r="H206" i="4"/>
  <c r="AB205" i="4"/>
  <c r="AD205" i="4" s="1"/>
  <c r="K205" i="4"/>
  <c r="I205" i="4"/>
  <c r="H205" i="4"/>
  <c r="T205" i="4" s="1"/>
  <c r="AB204" i="4"/>
  <c r="AD204" i="4" s="1"/>
  <c r="K204" i="4"/>
  <c r="I204" i="4"/>
  <c r="H204" i="4"/>
  <c r="T204" i="4" s="1"/>
  <c r="AB203" i="4"/>
  <c r="AD203" i="4" s="1"/>
  <c r="K203" i="4"/>
  <c r="AI203" i="4" s="1"/>
  <c r="I203" i="4"/>
  <c r="H203" i="4"/>
  <c r="AB202" i="4"/>
  <c r="AD202" i="4" s="1"/>
  <c r="K202" i="4"/>
  <c r="I202" i="4"/>
  <c r="H202" i="4"/>
  <c r="AB201" i="4"/>
  <c r="K201" i="4"/>
  <c r="I201" i="4"/>
  <c r="H201" i="4"/>
  <c r="T201" i="4" s="1"/>
  <c r="AB200" i="4"/>
  <c r="K200" i="4"/>
  <c r="AI200" i="4" s="1"/>
  <c r="I200" i="4"/>
  <c r="H200" i="4"/>
  <c r="T200" i="4" s="1"/>
  <c r="AB199" i="4"/>
  <c r="AD199" i="4" s="1"/>
  <c r="K199" i="4"/>
  <c r="I199" i="4"/>
  <c r="H199" i="4"/>
  <c r="T199" i="4" s="1"/>
  <c r="AB198" i="4"/>
  <c r="AD198" i="4" s="1"/>
  <c r="K198" i="4"/>
  <c r="AI198" i="4" s="1"/>
  <c r="I198" i="4"/>
  <c r="H198" i="4"/>
  <c r="AB197" i="4"/>
  <c r="K197" i="4"/>
  <c r="AI197" i="4" s="1"/>
  <c r="I197" i="4"/>
  <c r="H197" i="4"/>
  <c r="T197" i="4" s="1"/>
  <c r="AB196" i="4"/>
  <c r="K196" i="4"/>
  <c r="AI196" i="4" s="1"/>
  <c r="I196" i="4"/>
  <c r="H196" i="4"/>
  <c r="T196" i="4" s="1"/>
  <c r="AB195" i="4"/>
  <c r="AD195" i="4" s="1"/>
  <c r="K195" i="4"/>
  <c r="AI195" i="4" s="1"/>
  <c r="I195" i="4"/>
  <c r="H195" i="4"/>
  <c r="T195" i="4" s="1"/>
  <c r="AB194" i="4"/>
  <c r="AD194" i="4" s="1"/>
  <c r="K194" i="4"/>
  <c r="AI194" i="4" s="1"/>
  <c r="I194" i="4"/>
  <c r="H194" i="4"/>
  <c r="T194" i="4" s="1"/>
  <c r="AB193" i="4"/>
  <c r="K193" i="4"/>
  <c r="AI193" i="4" s="1"/>
  <c r="I193" i="4"/>
  <c r="H193" i="4"/>
  <c r="T193" i="4" s="1"/>
  <c r="AB192" i="4"/>
  <c r="AD192" i="4" s="1"/>
  <c r="K192" i="4"/>
  <c r="I192" i="4"/>
  <c r="H192" i="4"/>
  <c r="T192" i="4" s="1"/>
  <c r="AB191" i="4"/>
  <c r="AD191" i="4" s="1"/>
  <c r="K191" i="4"/>
  <c r="I191" i="4"/>
  <c r="H191" i="4"/>
  <c r="T191" i="4" s="1"/>
  <c r="AB190" i="4"/>
  <c r="AD190" i="4" s="1"/>
  <c r="K190" i="4"/>
  <c r="I190" i="4"/>
  <c r="H190" i="4"/>
  <c r="T190" i="4" s="1"/>
  <c r="AB189" i="4"/>
  <c r="AD189" i="4" s="1"/>
  <c r="K189" i="4"/>
  <c r="I189" i="4"/>
  <c r="H189" i="4"/>
  <c r="T189" i="4" s="1"/>
  <c r="AB188" i="4"/>
  <c r="K188" i="4"/>
  <c r="AI188" i="4" s="1"/>
  <c r="I188" i="4"/>
  <c r="H188" i="4"/>
  <c r="AB187" i="4"/>
  <c r="AD187" i="4" s="1"/>
  <c r="K187" i="4"/>
  <c r="I187" i="4"/>
  <c r="F187" i="4"/>
  <c r="H187" i="4" s="1"/>
  <c r="T187" i="4" s="1"/>
  <c r="AB186" i="4"/>
  <c r="AD186" i="4" s="1"/>
  <c r="K186" i="4"/>
  <c r="I186" i="4"/>
  <c r="H186" i="4"/>
  <c r="T186" i="4" s="1"/>
  <c r="AB185" i="4"/>
  <c r="AD185" i="4" s="1"/>
  <c r="K185" i="4"/>
  <c r="AI185" i="4" s="1"/>
  <c r="I185" i="4"/>
  <c r="H185" i="4"/>
  <c r="T185" i="4" s="1"/>
  <c r="AB184" i="4"/>
  <c r="K184" i="4"/>
  <c r="AI184" i="4" s="1"/>
  <c r="I184" i="4"/>
  <c r="H184" i="4"/>
  <c r="T184" i="4" s="1"/>
  <c r="AB183" i="4"/>
  <c r="AD183" i="4" s="1"/>
  <c r="K183" i="4"/>
  <c r="AI183" i="4" s="1"/>
  <c r="I183" i="4"/>
  <c r="H183" i="4"/>
  <c r="T183" i="4" s="1"/>
  <c r="AB182" i="4"/>
  <c r="AE182" i="4" s="1"/>
  <c r="AF182" i="4" s="1"/>
  <c r="K182" i="4"/>
  <c r="AI182" i="4" s="1"/>
  <c r="I182" i="4"/>
  <c r="H182" i="4"/>
  <c r="AB181" i="4"/>
  <c r="AD181" i="4" s="1"/>
  <c r="K181" i="4"/>
  <c r="I181" i="4"/>
  <c r="H181" i="4"/>
  <c r="T181" i="4" s="1"/>
  <c r="AB180" i="4"/>
  <c r="AD180" i="4" s="1"/>
  <c r="K180" i="4"/>
  <c r="I180" i="4"/>
  <c r="H180" i="4"/>
  <c r="AB179" i="4"/>
  <c r="AD179" i="4" s="1"/>
  <c r="K179" i="4"/>
  <c r="AI179" i="4" s="1"/>
  <c r="I179" i="4"/>
  <c r="H179" i="4"/>
  <c r="T179" i="4" s="1"/>
  <c r="AB178" i="4"/>
  <c r="AD178" i="4" s="1"/>
  <c r="K178" i="4"/>
  <c r="I178" i="4"/>
  <c r="H178" i="4"/>
  <c r="T178" i="4" s="1"/>
  <c r="AB177" i="4"/>
  <c r="AD177" i="4" s="1"/>
  <c r="K177" i="4"/>
  <c r="AI177" i="4" s="1"/>
  <c r="I177" i="4"/>
  <c r="H177" i="4"/>
  <c r="T177" i="4" s="1"/>
  <c r="AB176" i="4"/>
  <c r="K176" i="4"/>
  <c r="AI176" i="4" s="1"/>
  <c r="I176" i="4"/>
  <c r="H176" i="4"/>
  <c r="T176" i="4" s="1"/>
  <c r="AB175" i="4"/>
  <c r="AD175" i="4" s="1"/>
  <c r="K175" i="4"/>
  <c r="AI175" i="4" s="1"/>
  <c r="I175" i="4"/>
  <c r="H175" i="4"/>
  <c r="T175" i="4" s="1"/>
  <c r="AB174" i="4"/>
  <c r="K174" i="4"/>
  <c r="AI174" i="4" s="1"/>
  <c r="I174" i="4"/>
  <c r="H174" i="4"/>
  <c r="AB173" i="4"/>
  <c r="AD173" i="4" s="1"/>
  <c r="K173" i="4"/>
  <c r="AI173" i="4" s="1"/>
  <c r="I173" i="4"/>
  <c r="H173" i="4"/>
  <c r="T173" i="4" s="1"/>
  <c r="AB172" i="4"/>
  <c r="AD172" i="4" s="1"/>
  <c r="K172" i="4"/>
  <c r="I172" i="4"/>
  <c r="H172" i="4"/>
  <c r="AB171" i="4"/>
  <c r="K171" i="4"/>
  <c r="AI171" i="4" s="1"/>
  <c r="I171" i="4"/>
  <c r="H171" i="4"/>
  <c r="T171" i="4" s="1"/>
  <c r="AB170" i="4"/>
  <c r="AD170" i="4" s="1"/>
  <c r="K170" i="4"/>
  <c r="I170" i="4"/>
  <c r="H170" i="4"/>
  <c r="T170" i="4" s="1"/>
  <c r="AB169" i="4"/>
  <c r="AD169" i="4" s="1"/>
  <c r="K169" i="4"/>
  <c r="AI169" i="4" s="1"/>
  <c r="I169" i="4"/>
  <c r="H169" i="4"/>
  <c r="T169" i="4" s="1"/>
  <c r="AB168" i="4"/>
  <c r="K168" i="4"/>
  <c r="I168" i="4"/>
  <c r="H168" i="4"/>
  <c r="T168" i="4" s="1"/>
  <c r="AB167" i="4"/>
  <c r="AD167" i="4" s="1"/>
  <c r="K167" i="4"/>
  <c r="AI167" i="4" s="1"/>
  <c r="I167" i="4"/>
  <c r="H167" i="4"/>
  <c r="T167" i="4" s="1"/>
  <c r="AB166" i="4"/>
  <c r="AD166" i="4" s="1"/>
  <c r="K166" i="4"/>
  <c r="AI166" i="4" s="1"/>
  <c r="I166" i="4"/>
  <c r="H166" i="4"/>
  <c r="AB165" i="4"/>
  <c r="AD165" i="4" s="1"/>
  <c r="K165" i="4"/>
  <c r="AI165" i="4" s="1"/>
  <c r="I165" i="4"/>
  <c r="H165" i="4"/>
  <c r="T165" i="4" s="1"/>
  <c r="AB164" i="4"/>
  <c r="AD164" i="4" s="1"/>
  <c r="K164" i="4"/>
  <c r="I164" i="4"/>
  <c r="H164" i="4"/>
  <c r="AB163" i="4"/>
  <c r="K163" i="4"/>
  <c r="AI163" i="4" s="1"/>
  <c r="I163" i="4"/>
  <c r="H163" i="4"/>
  <c r="T163" i="4" s="1"/>
  <c r="AB162" i="4"/>
  <c r="AD162" i="4" s="1"/>
  <c r="K162" i="4"/>
  <c r="I162" i="4"/>
  <c r="H162" i="4"/>
  <c r="T162" i="4" s="1"/>
  <c r="AB161" i="4"/>
  <c r="AD161" i="4" s="1"/>
  <c r="K161" i="4"/>
  <c r="AI161" i="4" s="1"/>
  <c r="I161" i="4"/>
  <c r="H161" i="4"/>
  <c r="T161" i="4" s="1"/>
  <c r="AB160" i="4"/>
  <c r="AD160" i="4" s="1"/>
  <c r="K160" i="4"/>
  <c r="AI160" i="4" s="1"/>
  <c r="I160" i="4"/>
  <c r="H160" i="4"/>
  <c r="T160" i="4" s="1"/>
  <c r="AB159" i="4"/>
  <c r="AD159" i="4" s="1"/>
  <c r="K159" i="4"/>
  <c r="AI159" i="4" s="1"/>
  <c r="I159" i="4"/>
  <c r="H159" i="4"/>
  <c r="T159" i="4" s="1"/>
  <c r="AB158" i="4"/>
  <c r="AD158" i="4" s="1"/>
  <c r="K158" i="4"/>
  <c r="AI158" i="4" s="1"/>
  <c r="I158" i="4"/>
  <c r="H158" i="4"/>
  <c r="T158" i="4" s="1"/>
  <c r="AB157" i="4"/>
  <c r="AD157" i="4" s="1"/>
  <c r="K157" i="4"/>
  <c r="I157" i="4"/>
  <c r="H157" i="4"/>
  <c r="T157" i="4" s="1"/>
  <c r="AB156" i="4"/>
  <c r="AD156" i="4" s="1"/>
  <c r="K156" i="4"/>
  <c r="I156" i="4"/>
  <c r="H156" i="4"/>
  <c r="AB155" i="4"/>
  <c r="K155" i="4"/>
  <c r="I155" i="4"/>
  <c r="H155" i="4"/>
  <c r="T155" i="4" s="1"/>
  <c r="AB154" i="4"/>
  <c r="AD154" i="4" s="1"/>
  <c r="K154" i="4"/>
  <c r="I154" i="4"/>
  <c r="H154" i="4"/>
  <c r="T154" i="4" s="1"/>
  <c r="AB153" i="4"/>
  <c r="AD153" i="4" s="1"/>
  <c r="K153" i="4"/>
  <c r="AI153" i="4" s="1"/>
  <c r="I153" i="4"/>
  <c r="H153" i="4"/>
  <c r="T153" i="4" s="1"/>
  <c r="AB152" i="4"/>
  <c r="AD152" i="4" s="1"/>
  <c r="K152" i="4"/>
  <c r="I152" i="4"/>
  <c r="H152" i="4"/>
  <c r="T152" i="4" s="1"/>
  <c r="AB151" i="4"/>
  <c r="AD151" i="4" s="1"/>
  <c r="K151" i="4"/>
  <c r="AI151" i="4" s="1"/>
  <c r="I151" i="4"/>
  <c r="H151" i="4"/>
  <c r="AB150" i="4"/>
  <c r="AD150" i="4" s="1"/>
  <c r="K150" i="4"/>
  <c r="I150" i="4"/>
  <c r="H150" i="4"/>
  <c r="T150" i="4" s="1"/>
  <c r="AB149" i="4"/>
  <c r="AD149" i="4" s="1"/>
  <c r="K149" i="4"/>
  <c r="AI149" i="4" s="1"/>
  <c r="I149" i="4"/>
  <c r="H149" i="4"/>
  <c r="T149" i="4" s="1"/>
  <c r="AB148" i="4"/>
  <c r="AE148" i="4" s="1"/>
  <c r="AF148" i="4" s="1"/>
  <c r="K148" i="4"/>
  <c r="I148" i="4"/>
  <c r="H148" i="4"/>
  <c r="AB147" i="4"/>
  <c r="K147" i="4"/>
  <c r="AI147" i="4" s="1"/>
  <c r="I147" i="4"/>
  <c r="H147" i="4"/>
  <c r="T147" i="4" s="1"/>
  <c r="AB146" i="4"/>
  <c r="AD146" i="4" s="1"/>
  <c r="K146" i="4"/>
  <c r="AI146" i="4" s="1"/>
  <c r="I146" i="4"/>
  <c r="H146" i="4"/>
  <c r="AB145" i="4"/>
  <c r="AD145" i="4" s="1"/>
  <c r="K145" i="4"/>
  <c r="AI145" i="4" s="1"/>
  <c r="I145" i="4"/>
  <c r="H145" i="4"/>
  <c r="T145" i="4" s="1"/>
  <c r="AB144" i="4"/>
  <c r="AD144" i="4" s="1"/>
  <c r="K144" i="4"/>
  <c r="AI144" i="4" s="1"/>
  <c r="I144" i="4"/>
  <c r="H144" i="4"/>
  <c r="T144" i="4" s="1"/>
  <c r="AB143" i="4"/>
  <c r="AD143" i="4" s="1"/>
  <c r="K143" i="4"/>
  <c r="AI143" i="4" s="1"/>
  <c r="I143" i="4"/>
  <c r="H143" i="4"/>
  <c r="T143" i="4" s="1"/>
  <c r="AB142" i="4"/>
  <c r="K142" i="4"/>
  <c r="I142" i="4"/>
  <c r="H142" i="4"/>
  <c r="T142" i="4" s="1"/>
  <c r="AB141" i="4"/>
  <c r="AD141" i="4" s="1"/>
  <c r="K141" i="4"/>
  <c r="AI141" i="4" s="1"/>
  <c r="I141" i="4"/>
  <c r="H141" i="4"/>
  <c r="T141" i="4" s="1"/>
  <c r="AB140" i="4"/>
  <c r="AE140" i="4" s="1"/>
  <c r="AF140" i="4" s="1"/>
  <c r="K140" i="4"/>
  <c r="I140" i="4"/>
  <c r="H140" i="4"/>
  <c r="T140" i="4" s="1"/>
  <c r="AB139" i="4"/>
  <c r="K139" i="4"/>
  <c r="AI139" i="4" s="1"/>
  <c r="I139" i="4"/>
  <c r="H139" i="4"/>
  <c r="T139" i="4" s="1"/>
  <c r="AB138" i="4"/>
  <c r="AD138" i="4" s="1"/>
  <c r="K138" i="4"/>
  <c r="AI138" i="4" s="1"/>
  <c r="I138" i="4"/>
  <c r="H138" i="4"/>
  <c r="T138" i="4" s="1"/>
  <c r="AB137" i="4"/>
  <c r="AD137" i="4" s="1"/>
  <c r="K137" i="4"/>
  <c r="AI137" i="4" s="1"/>
  <c r="I137" i="4"/>
  <c r="H137" i="4"/>
  <c r="T137" i="4" s="1"/>
  <c r="AB136" i="4"/>
  <c r="AD136" i="4" s="1"/>
  <c r="K136" i="4"/>
  <c r="I136" i="4"/>
  <c r="H136" i="4"/>
  <c r="T136" i="4" s="1"/>
  <c r="AB135" i="4"/>
  <c r="K135" i="4"/>
  <c r="AI135" i="4" s="1"/>
  <c r="I135" i="4"/>
  <c r="H135" i="4"/>
  <c r="T135" i="4" s="1"/>
  <c r="AB134" i="4"/>
  <c r="AD134" i="4" s="1"/>
  <c r="K134" i="4"/>
  <c r="AI134" i="4" s="1"/>
  <c r="I134" i="4"/>
  <c r="H134" i="4"/>
  <c r="AB133" i="4"/>
  <c r="AD133" i="4" s="1"/>
  <c r="K133" i="4"/>
  <c r="I133" i="4"/>
  <c r="H133" i="4"/>
  <c r="T133" i="4" s="1"/>
  <c r="AB132" i="4"/>
  <c r="AD132" i="4" s="1"/>
  <c r="K132" i="4"/>
  <c r="AI132" i="4" s="1"/>
  <c r="I132" i="4"/>
  <c r="H132" i="4"/>
  <c r="AB131" i="4"/>
  <c r="K131" i="4"/>
  <c r="I131" i="4"/>
  <c r="H131" i="4"/>
  <c r="T131" i="4" s="1"/>
  <c r="AB130" i="4"/>
  <c r="AD130" i="4" s="1"/>
  <c r="K130" i="4"/>
  <c r="I130" i="4"/>
  <c r="H130" i="4"/>
  <c r="T130" i="4" s="1"/>
  <c r="AB129" i="4"/>
  <c r="K129" i="4"/>
  <c r="AI129" i="4" s="1"/>
  <c r="I129" i="4"/>
  <c r="H129" i="4"/>
  <c r="AB128" i="4"/>
  <c r="AD128" i="4" s="1"/>
  <c r="K128" i="4"/>
  <c r="AI128" i="4" s="1"/>
  <c r="I128" i="4"/>
  <c r="H128" i="4"/>
  <c r="T128" i="4" s="1"/>
  <c r="AB127" i="4"/>
  <c r="AD127" i="4" s="1"/>
  <c r="K127" i="4"/>
  <c r="I127" i="4"/>
  <c r="H127" i="4"/>
  <c r="AB126" i="4"/>
  <c r="AE126" i="4" s="1"/>
  <c r="AF126" i="4" s="1"/>
  <c r="K126" i="4"/>
  <c r="AI126" i="4" s="1"/>
  <c r="I126" i="4"/>
  <c r="H126" i="4"/>
  <c r="T126" i="4" s="1"/>
  <c r="AB125" i="4"/>
  <c r="AD125" i="4" s="1"/>
  <c r="K125" i="4"/>
  <c r="I125" i="4"/>
  <c r="H125" i="4"/>
  <c r="T125" i="4" s="1"/>
  <c r="AB124" i="4"/>
  <c r="AD124" i="4" s="1"/>
  <c r="K124" i="4"/>
  <c r="AI124" i="4" s="1"/>
  <c r="I124" i="4"/>
  <c r="H124" i="4"/>
  <c r="T124" i="4" s="1"/>
  <c r="AB123" i="4"/>
  <c r="K123" i="4"/>
  <c r="I123" i="4"/>
  <c r="H123" i="4"/>
  <c r="T123" i="4" s="1"/>
  <c r="AB122" i="4"/>
  <c r="AD122" i="4" s="1"/>
  <c r="K122" i="4"/>
  <c r="I122" i="4"/>
  <c r="H122" i="4"/>
  <c r="T122" i="4" s="1"/>
  <c r="AB121" i="4"/>
  <c r="AE121" i="4" s="1"/>
  <c r="AF121" i="4" s="1"/>
  <c r="K121" i="4"/>
  <c r="AI121" i="4" s="1"/>
  <c r="I121" i="4"/>
  <c r="H121" i="4"/>
  <c r="AB120" i="4"/>
  <c r="AD120" i="4" s="1"/>
  <c r="K120" i="4"/>
  <c r="AI120" i="4" s="1"/>
  <c r="I120" i="4"/>
  <c r="H120" i="4"/>
  <c r="T120" i="4" s="1"/>
  <c r="AB119" i="4"/>
  <c r="AD119" i="4" s="1"/>
  <c r="K119" i="4"/>
  <c r="I119" i="4"/>
  <c r="H119" i="4"/>
  <c r="AB118" i="4"/>
  <c r="AD118" i="4" s="1"/>
  <c r="K118" i="4"/>
  <c r="AI118" i="4" s="1"/>
  <c r="I118" i="4"/>
  <c r="H118" i="4"/>
  <c r="T118" i="4" s="1"/>
  <c r="AB117" i="4"/>
  <c r="AD117" i="4" s="1"/>
  <c r="K117" i="4"/>
  <c r="AI117" i="4" s="1"/>
  <c r="I117" i="4"/>
  <c r="H117" i="4"/>
  <c r="T117" i="4" s="1"/>
  <c r="AB116" i="4"/>
  <c r="AD116" i="4" s="1"/>
  <c r="K116" i="4"/>
  <c r="AI116" i="4" s="1"/>
  <c r="I116" i="4"/>
  <c r="H116" i="4"/>
  <c r="T116" i="4" s="1"/>
  <c r="AB115" i="4"/>
  <c r="K115" i="4"/>
  <c r="I115" i="4"/>
  <c r="H115" i="4"/>
  <c r="T115" i="4" s="1"/>
  <c r="AB114" i="4"/>
  <c r="AD114" i="4" s="1"/>
  <c r="K114" i="4"/>
  <c r="AI114" i="4" s="1"/>
  <c r="I114" i="4"/>
  <c r="H114" i="4"/>
  <c r="T114" i="4" s="1"/>
  <c r="AB113" i="4"/>
  <c r="K113" i="4"/>
  <c r="AI113" i="4" s="1"/>
  <c r="I113" i="4"/>
  <c r="H113" i="4"/>
  <c r="AB112" i="4"/>
  <c r="AD112" i="4" s="1"/>
  <c r="K112" i="4"/>
  <c r="AI112" i="4" s="1"/>
  <c r="I112" i="4"/>
  <c r="H112" i="4"/>
  <c r="T112" i="4" s="1"/>
  <c r="AB111" i="4"/>
  <c r="AD111" i="4" s="1"/>
  <c r="K111" i="4"/>
  <c r="I111" i="4"/>
  <c r="H111" i="4"/>
  <c r="AB110" i="4"/>
  <c r="AD110" i="4" s="1"/>
  <c r="K110" i="4"/>
  <c r="AI110" i="4" s="1"/>
  <c r="I110" i="4"/>
  <c r="H110" i="4"/>
  <c r="T110" i="4" s="1"/>
  <c r="AB109" i="4"/>
  <c r="AD109" i="4" s="1"/>
  <c r="K109" i="4"/>
  <c r="I109" i="4"/>
  <c r="H109" i="4"/>
  <c r="T109" i="4" s="1"/>
  <c r="AB108" i="4"/>
  <c r="K108" i="4"/>
  <c r="I108" i="4"/>
  <c r="H108" i="4"/>
  <c r="AB107" i="4"/>
  <c r="AD107" i="4" s="1"/>
  <c r="K107" i="4"/>
  <c r="AI107" i="4" s="1"/>
  <c r="I107" i="4"/>
  <c r="H107" i="4"/>
  <c r="AB106" i="4"/>
  <c r="AD106" i="4" s="1"/>
  <c r="K106" i="4"/>
  <c r="AI106" i="4" s="1"/>
  <c r="I106" i="4"/>
  <c r="H106" i="4"/>
  <c r="AB105" i="4"/>
  <c r="K105" i="4"/>
  <c r="I105" i="4"/>
  <c r="H105" i="4"/>
  <c r="T105" i="4" s="1"/>
  <c r="AB104" i="4"/>
  <c r="K104" i="4"/>
  <c r="AI104" i="4" s="1"/>
  <c r="I104" i="4"/>
  <c r="H104" i="4"/>
  <c r="T104" i="4" s="1"/>
  <c r="AB103" i="4"/>
  <c r="AD103" i="4" s="1"/>
  <c r="K103" i="4"/>
  <c r="AI103" i="4" s="1"/>
  <c r="I103" i="4"/>
  <c r="H103" i="4"/>
  <c r="T103" i="4" s="1"/>
  <c r="AB102" i="4"/>
  <c r="K102" i="4"/>
  <c r="AI102" i="4" s="1"/>
  <c r="I102" i="4"/>
  <c r="H102" i="4"/>
  <c r="T102" i="4" s="1"/>
  <c r="AB101" i="4"/>
  <c r="AD101" i="4" s="1"/>
  <c r="K101" i="4"/>
  <c r="I101" i="4"/>
  <c r="H101" i="4"/>
  <c r="T101" i="4" s="1"/>
  <c r="AB100" i="4"/>
  <c r="AD100" i="4" s="1"/>
  <c r="K100" i="4"/>
  <c r="I100" i="4"/>
  <c r="H100" i="4"/>
  <c r="T100" i="4" s="1"/>
  <c r="AB99" i="4"/>
  <c r="AD99" i="4" s="1"/>
  <c r="K99" i="4"/>
  <c r="I99" i="4"/>
  <c r="H99" i="4"/>
  <c r="T99" i="4" s="1"/>
  <c r="AB98" i="4"/>
  <c r="K98" i="4"/>
  <c r="AI98" i="4" s="1"/>
  <c r="I98" i="4"/>
  <c r="H98" i="4"/>
  <c r="T98" i="4" s="1"/>
  <c r="AB97" i="4"/>
  <c r="AD97" i="4" s="1"/>
  <c r="K97" i="4"/>
  <c r="I97" i="4"/>
  <c r="H97" i="4"/>
  <c r="T97" i="4" s="1"/>
  <c r="AB96" i="4"/>
  <c r="AD96" i="4" s="1"/>
  <c r="K96" i="4"/>
  <c r="AI96" i="4" s="1"/>
  <c r="I96" i="4"/>
  <c r="H96" i="4"/>
  <c r="T96" i="4" s="1"/>
  <c r="AB95" i="4"/>
  <c r="K95" i="4"/>
  <c r="AI95" i="4" s="1"/>
  <c r="I95" i="4"/>
  <c r="H95" i="4"/>
  <c r="T95" i="4" s="1"/>
  <c r="AB94" i="4"/>
  <c r="K94" i="4"/>
  <c r="AI94" i="4" s="1"/>
  <c r="I94" i="4"/>
  <c r="H94" i="4"/>
  <c r="AB93" i="4"/>
  <c r="AD93" i="4" s="1"/>
  <c r="K93" i="4"/>
  <c r="AI93" i="4" s="1"/>
  <c r="I93" i="4"/>
  <c r="H93" i="4"/>
  <c r="AB92" i="4"/>
  <c r="K92" i="4"/>
  <c r="AI92" i="4" s="1"/>
  <c r="I92" i="4"/>
  <c r="H92" i="4"/>
  <c r="AB91" i="4"/>
  <c r="AD91" i="4" s="1"/>
  <c r="K91" i="4"/>
  <c r="I91" i="4"/>
  <c r="H91" i="4"/>
  <c r="T91" i="4" s="1"/>
  <c r="AB90" i="4"/>
  <c r="AD90" i="4" s="1"/>
  <c r="K90" i="4"/>
  <c r="AI90" i="4" s="1"/>
  <c r="I90" i="4"/>
  <c r="H90" i="4"/>
  <c r="T90" i="4" s="1"/>
  <c r="AB89" i="4"/>
  <c r="K89" i="4"/>
  <c r="AI89" i="4" s="1"/>
  <c r="I89" i="4"/>
  <c r="H89" i="4"/>
  <c r="T89" i="4" s="1"/>
  <c r="AB88" i="4"/>
  <c r="K88" i="4"/>
  <c r="I88" i="4"/>
  <c r="H88" i="4"/>
  <c r="T88" i="4" s="1"/>
  <c r="AB87" i="4"/>
  <c r="AD87" i="4" s="1"/>
  <c r="K87" i="4"/>
  <c r="AI87" i="4" s="1"/>
  <c r="I87" i="4"/>
  <c r="H87" i="4"/>
  <c r="T87" i="4" s="1"/>
  <c r="AB86" i="4"/>
  <c r="AD86" i="4" s="1"/>
  <c r="K86" i="4"/>
  <c r="AI86" i="4" s="1"/>
  <c r="I86" i="4"/>
  <c r="H86" i="4"/>
  <c r="T86" i="4" s="1"/>
  <c r="AB85" i="4"/>
  <c r="K85" i="4"/>
  <c r="AI85" i="4" s="1"/>
  <c r="I85" i="4"/>
  <c r="H85" i="4"/>
  <c r="T85" i="4" s="1"/>
  <c r="AB84" i="4"/>
  <c r="K84" i="4"/>
  <c r="AI84" i="4" s="1"/>
  <c r="I84" i="4"/>
  <c r="H84" i="4"/>
  <c r="T84" i="4" s="1"/>
  <c r="AB83" i="4"/>
  <c r="AD83" i="4" s="1"/>
  <c r="K83" i="4"/>
  <c r="I83" i="4"/>
  <c r="H83" i="4"/>
  <c r="AB82" i="4"/>
  <c r="AD82" i="4" s="1"/>
  <c r="K82" i="4"/>
  <c r="I82" i="4"/>
  <c r="H82" i="4"/>
  <c r="T82" i="4" s="1"/>
  <c r="AB81" i="4"/>
  <c r="AD81" i="4" s="1"/>
  <c r="K81" i="4"/>
  <c r="I81" i="4"/>
  <c r="H81" i="4"/>
  <c r="T81" i="4" s="1"/>
  <c r="AB80" i="4"/>
  <c r="AD80" i="4" s="1"/>
  <c r="K80" i="4"/>
  <c r="AI80" i="4" s="1"/>
  <c r="I80" i="4"/>
  <c r="H80" i="4"/>
  <c r="T80" i="4" s="1"/>
  <c r="AB79" i="4"/>
  <c r="K79" i="4"/>
  <c r="AI79" i="4" s="1"/>
  <c r="I79" i="4"/>
  <c r="H79" i="4"/>
  <c r="AB78" i="4"/>
  <c r="K78" i="4"/>
  <c r="AI78" i="4" s="1"/>
  <c r="I78" i="4"/>
  <c r="H78" i="4"/>
  <c r="T78" i="4" s="1"/>
  <c r="AB77" i="4"/>
  <c r="AD77" i="4" s="1"/>
  <c r="K77" i="4"/>
  <c r="AI77" i="4" s="1"/>
  <c r="I77" i="4"/>
  <c r="H77" i="4"/>
  <c r="AB76" i="4"/>
  <c r="AD76" i="4" s="1"/>
  <c r="K76" i="4"/>
  <c r="AI76" i="4" s="1"/>
  <c r="I76" i="4"/>
  <c r="H76" i="4"/>
  <c r="T76" i="4" s="1"/>
  <c r="AB75" i="4"/>
  <c r="K75" i="4"/>
  <c r="I75" i="4"/>
  <c r="H75" i="4"/>
  <c r="T75" i="4" s="1"/>
  <c r="AB74" i="4"/>
  <c r="AD74" i="4" s="1"/>
  <c r="K74" i="4"/>
  <c r="AI74" i="4" s="1"/>
  <c r="I74" i="4"/>
  <c r="H74" i="4"/>
  <c r="T74" i="4" s="1"/>
  <c r="AB73" i="4"/>
  <c r="K73" i="4"/>
  <c r="AI73" i="4" s="1"/>
  <c r="I73" i="4"/>
  <c r="H73" i="4"/>
  <c r="AB72" i="4"/>
  <c r="AD72" i="4" s="1"/>
  <c r="K72" i="4"/>
  <c r="AI72" i="4" s="1"/>
  <c r="I72" i="4"/>
  <c r="H72" i="4"/>
  <c r="T72" i="4" s="1"/>
  <c r="AB71" i="4"/>
  <c r="K71" i="4"/>
  <c r="AI71" i="4" s="1"/>
  <c r="I71" i="4"/>
  <c r="H71" i="4"/>
  <c r="AB70" i="4"/>
  <c r="K70" i="4"/>
  <c r="AI70" i="4" s="1"/>
  <c r="I70" i="4"/>
  <c r="H70" i="4"/>
  <c r="T70" i="4" s="1"/>
  <c r="AB69" i="4"/>
  <c r="AD69" i="4" s="1"/>
  <c r="K69" i="4"/>
  <c r="AI69" i="4" s="1"/>
  <c r="I69" i="4"/>
  <c r="H69" i="4"/>
  <c r="AB68" i="4"/>
  <c r="K68" i="4"/>
  <c r="AI68" i="4" s="1"/>
  <c r="I68" i="4"/>
  <c r="H68" i="4"/>
  <c r="T68" i="4" s="1"/>
  <c r="AB67" i="4"/>
  <c r="K67" i="4"/>
  <c r="I67" i="4"/>
  <c r="H67" i="4"/>
  <c r="T67" i="4" s="1"/>
  <c r="AB66" i="4"/>
  <c r="AD66" i="4" s="1"/>
  <c r="K66" i="4"/>
  <c r="AI66" i="4" s="1"/>
  <c r="I66" i="4"/>
  <c r="H66" i="4"/>
  <c r="T66" i="4" s="1"/>
  <c r="AB65" i="4"/>
  <c r="K65" i="4"/>
  <c r="AI65" i="4" s="1"/>
  <c r="I65" i="4"/>
  <c r="H65" i="4"/>
  <c r="AB64" i="4"/>
  <c r="AD64" i="4" s="1"/>
  <c r="K64" i="4"/>
  <c r="AI64" i="4" s="1"/>
  <c r="I64" i="4"/>
  <c r="H64" i="4"/>
  <c r="AB63" i="4"/>
  <c r="K63" i="4"/>
  <c r="AI63" i="4" s="1"/>
  <c r="I63" i="4"/>
  <c r="H63" i="4"/>
  <c r="AB62" i="4"/>
  <c r="K62" i="4"/>
  <c r="AI62" i="4" s="1"/>
  <c r="I62" i="4"/>
  <c r="H62" i="4"/>
  <c r="T62" i="4" s="1"/>
  <c r="AB61" i="4"/>
  <c r="AD61" i="4" s="1"/>
  <c r="K61" i="4"/>
  <c r="I61" i="4"/>
  <c r="H61" i="4"/>
  <c r="AB60" i="4"/>
  <c r="AD60" i="4" s="1"/>
  <c r="K60" i="4"/>
  <c r="AI60" i="4" s="1"/>
  <c r="I60" i="4"/>
  <c r="H60" i="4"/>
  <c r="T60" i="4" s="1"/>
  <c r="AB59" i="4"/>
  <c r="K59" i="4"/>
  <c r="AI59" i="4" s="1"/>
  <c r="I59" i="4"/>
  <c r="H59" i="4"/>
  <c r="T59" i="4" s="1"/>
  <c r="AB58" i="4"/>
  <c r="AD58" i="4" s="1"/>
  <c r="K58" i="4"/>
  <c r="AI58" i="4" s="1"/>
  <c r="I58" i="4"/>
  <c r="H58" i="4"/>
  <c r="T58" i="4" s="1"/>
  <c r="AB57" i="4"/>
  <c r="K57" i="4"/>
  <c r="AI57" i="4" s="1"/>
  <c r="I57" i="4"/>
  <c r="H57" i="4"/>
  <c r="AB56" i="4"/>
  <c r="AD56" i="4" s="1"/>
  <c r="K56" i="4"/>
  <c r="I56" i="4"/>
  <c r="H56" i="4"/>
  <c r="T56" i="4" s="1"/>
  <c r="AB55" i="4"/>
  <c r="AD55" i="4" s="1"/>
  <c r="K55" i="4"/>
  <c r="I55" i="4"/>
  <c r="H55" i="4"/>
  <c r="AB54" i="4"/>
  <c r="K54" i="4"/>
  <c r="AI54" i="4" s="1"/>
  <c r="I54" i="4"/>
  <c r="H54" i="4"/>
  <c r="AB53" i="4"/>
  <c r="AD53" i="4" s="1"/>
  <c r="K53" i="4"/>
  <c r="AI53" i="4" s="1"/>
  <c r="I53" i="4"/>
  <c r="H53" i="4"/>
  <c r="T53" i="4" s="1"/>
  <c r="AB52" i="4"/>
  <c r="AD52" i="4" s="1"/>
  <c r="K52" i="4"/>
  <c r="AI52" i="4" s="1"/>
  <c r="I52" i="4"/>
  <c r="H52" i="4"/>
  <c r="T52" i="4" s="1"/>
  <c r="AB51" i="4"/>
  <c r="K51" i="4"/>
  <c r="AI51" i="4" s="1"/>
  <c r="I51" i="4"/>
  <c r="H51" i="4"/>
  <c r="T51" i="4" s="1"/>
  <c r="AB50" i="4"/>
  <c r="AD50" i="4" s="1"/>
  <c r="K50" i="4"/>
  <c r="AI50" i="4" s="1"/>
  <c r="I50" i="4"/>
  <c r="H50" i="4"/>
  <c r="T50" i="4" s="1"/>
  <c r="AB49" i="4"/>
  <c r="K49" i="4"/>
  <c r="AI49" i="4" s="1"/>
  <c r="I49" i="4"/>
  <c r="H49" i="4"/>
  <c r="T49" i="4" s="1"/>
  <c r="AB48" i="4"/>
  <c r="AD48" i="4" s="1"/>
  <c r="K48" i="4"/>
  <c r="AI48" i="4" s="1"/>
  <c r="I48" i="4"/>
  <c r="H48" i="4"/>
  <c r="T48" i="4" s="1"/>
  <c r="AB47" i="4"/>
  <c r="AE47" i="4" s="1"/>
  <c r="AF47" i="4" s="1"/>
  <c r="K47" i="4"/>
  <c r="AI47" i="4" s="1"/>
  <c r="I47" i="4"/>
  <c r="H47" i="4"/>
  <c r="T47" i="4" s="1"/>
  <c r="AB46" i="4"/>
  <c r="K46" i="4"/>
  <c r="AI46" i="4" s="1"/>
  <c r="I46" i="4"/>
  <c r="H46" i="4"/>
  <c r="T46" i="4" s="1"/>
  <c r="AB45" i="4"/>
  <c r="AD45" i="4" s="1"/>
  <c r="K45" i="4"/>
  <c r="I45" i="4"/>
  <c r="H45" i="4"/>
  <c r="T45" i="4" s="1"/>
  <c r="AB44" i="4"/>
  <c r="AD44" i="4" s="1"/>
  <c r="K44" i="4"/>
  <c r="I44" i="4"/>
  <c r="H44" i="4"/>
  <c r="AB43" i="4"/>
  <c r="K43" i="4"/>
  <c r="I43" i="4"/>
  <c r="H43" i="4"/>
  <c r="T43" i="4" s="1"/>
  <c r="AB42" i="4"/>
  <c r="AD42" i="4" s="1"/>
  <c r="K42" i="4"/>
  <c r="AI42" i="4" s="1"/>
  <c r="I42" i="4"/>
  <c r="H42" i="4"/>
  <c r="T42" i="4" s="1"/>
  <c r="AB41" i="4"/>
  <c r="AD41" i="4" s="1"/>
  <c r="K41" i="4"/>
  <c r="AI41" i="4" s="1"/>
  <c r="I41" i="4"/>
  <c r="H41" i="4"/>
  <c r="AB40" i="4"/>
  <c r="AD40" i="4" s="1"/>
  <c r="K40" i="4"/>
  <c r="AI40" i="4" s="1"/>
  <c r="I40" i="4"/>
  <c r="H40" i="4"/>
  <c r="T40" i="4" s="1"/>
  <c r="AB39" i="4"/>
  <c r="K39" i="4"/>
  <c r="AI39" i="4" s="1"/>
  <c r="I39" i="4"/>
  <c r="H39" i="4"/>
  <c r="T39" i="4" s="1"/>
  <c r="AB38" i="4"/>
  <c r="K38" i="4"/>
  <c r="AI38" i="4" s="1"/>
  <c r="I38" i="4"/>
  <c r="H38" i="4"/>
  <c r="T38" i="4" s="1"/>
  <c r="AB37" i="4"/>
  <c r="K37" i="4"/>
  <c r="AI37" i="4" s="1"/>
  <c r="I37" i="4"/>
  <c r="H37" i="4"/>
  <c r="T37" i="4" s="1"/>
  <c r="AB36" i="4"/>
  <c r="AD36" i="4" s="1"/>
  <c r="K36" i="4"/>
  <c r="I36" i="4"/>
  <c r="H36" i="4"/>
  <c r="T36" i="4" s="1"/>
  <c r="AB35" i="4"/>
  <c r="K35" i="4"/>
  <c r="I35" i="4"/>
  <c r="H35" i="4"/>
  <c r="T35" i="4" s="1"/>
  <c r="AB34" i="4"/>
  <c r="AD34" i="4" s="1"/>
  <c r="K34" i="4"/>
  <c r="AI34" i="4" s="1"/>
  <c r="I34" i="4"/>
  <c r="H34" i="4"/>
  <c r="T34" i="4" s="1"/>
  <c r="AB33" i="4"/>
  <c r="AD33" i="4" s="1"/>
  <c r="K33" i="4"/>
  <c r="AI33" i="4" s="1"/>
  <c r="I33" i="4"/>
  <c r="H33" i="4"/>
  <c r="T33" i="4" s="1"/>
  <c r="AB32" i="4"/>
  <c r="AD32" i="4" s="1"/>
  <c r="K32" i="4"/>
  <c r="AI32" i="4" s="1"/>
  <c r="I32" i="4"/>
  <c r="H32" i="4"/>
  <c r="T32" i="4" s="1"/>
  <c r="AB31" i="4"/>
  <c r="AD31" i="4" s="1"/>
  <c r="K31" i="4"/>
  <c r="AI31" i="4" s="1"/>
  <c r="I31" i="4"/>
  <c r="H31" i="4"/>
  <c r="T31" i="4" s="1"/>
  <c r="AB30" i="4"/>
  <c r="K30" i="4"/>
  <c r="AI30" i="4" s="1"/>
  <c r="I30" i="4"/>
  <c r="H30" i="4"/>
  <c r="AB29" i="4"/>
  <c r="AD29" i="4" s="1"/>
  <c r="K29" i="4"/>
  <c r="AI29" i="4" s="1"/>
  <c r="I29" i="4"/>
  <c r="H29" i="4"/>
  <c r="T29" i="4" s="1"/>
  <c r="AB28" i="4"/>
  <c r="K28" i="4"/>
  <c r="AI28" i="4" s="1"/>
  <c r="I28" i="4"/>
  <c r="H28" i="4"/>
  <c r="T28" i="4" s="1"/>
  <c r="AB27" i="4"/>
  <c r="AD27" i="4" s="1"/>
  <c r="K27" i="4"/>
  <c r="AI27" i="4" s="1"/>
  <c r="I27" i="4"/>
  <c r="H27" i="4"/>
  <c r="T27" i="4" s="1"/>
  <c r="AB26" i="4"/>
  <c r="AD26" i="4" s="1"/>
  <c r="K26" i="4"/>
  <c r="AI26" i="4" s="1"/>
  <c r="I26" i="4"/>
  <c r="H26" i="4"/>
  <c r="AB25" i="4"/>
  <c r="K25" i="4"/>
  <c r="AI25" i="4" s="1"/>
  <c r="I25" i="4"/>
  <c r="H25" i="4"/>
  <c r="T25" i="4" s="1"/>
  <c r="AB24" i="4"/>
  <c r="AD24" i="4" s="1"/>
  <c r="K24" i="4"/>
  <c r="AI24" i="4" s="1"/>
  <c r="I24" i="4"/>
  <c r="H24" i="4"/>
  <c r="T24" i="4" s="1"/>
  <c r="AB23" i="4"/>
  <c r="AD23" i="4" s="1"/>
  <c r="K23" i="4"/>
  <c r="AI23" i="4" s="1"/>
  <c r="I23" i="4"/>
  <c r="H23" i="4"/>
  <c r="AB22" i="4"/>
  <c r="AD22" i="4" s="1"/>
  <c r="K22" i="4"/>
  <c r="AI22" i="4" s="1"/>
  <c r="I22" i="4"/>
  <c r="H22" i="4"/>
  <c r="T22" i="4" s="1"/>
  <c r="AB21" i="4"/>
  <c r="AD21" i="4" s="1"/>
  <c r="K21" i="4"/>
  <c r="AI21" i="4" s="1"/>
  <c r="I21" i="4"/>
  <c r="H21" i="4"/>
  <c r="T21" i="4" s="1"/>
  <c r="AB20" i="4"/>
  <c r="K20" i="4"/>
  <c r="AI20" i="4" s="1"/>
  <c r="I20" i="4"/>
  <c r="H20" i="4"/>
  <c r="T20" i="4" s="1"/>
  <c r="AB19" i="4"/>
  <c r="AD19" i="4" s="1"/>
  <c r="K19" i="4"/>
  <c r="AI19" i="4" s="1"/>
  <c r="I19" i="4"/>
  <c r="H19" i="4"/>
  <c r="T19" i="4" s="1"/>
  <c r="AB18" i="4"/>
  <c r="AD18" i="4" s="1"/>
  <c r="K18" i="4"/>
  <c r="AI18" i="4" s="1"/>
  <c r="I18" i="4"/>
  <c r="H18" i="4"/>
  <c r="AB17" i="4"/>
  <c r="K17" i="4"/>
  <c r="AI17" i="4" s="1"/>
  <c r="I17" i="4"/>
  <c r="H17" i="4"/>
  <c r="T17" i="4" s="1"/>
  <c r="AB16" i="4"/>
  <c r="AD16" i="4" s="1"/>
  <c r="K16" i="4"/>
  <c r="AI16" i="4" s="1"/>
  <c r="I16" i="4"/>
  <c r="H16" i="4"/>
  <c r="T16" i="4" s="1"/>
  <c r="AB15" i="4"/>
  <c r="AD15" i="4" s="1"/>
  <c r="K15" i="4"/>
  <c r="AI15" i="4" s="1"/>
  <c r="I15" i="4"/>
  <c r="H15" i="4"/>
  <c r="AB14" i="4"/>
  <c r="AD14" i="4" s="1"/>
  <c r="K14" i="4"/>
  <c r="AI14" i="4" s="1"/>
  <c r="I14" i="4"/>
  <c r="H14" i="4"/>
  <c r="T14" i="4" s="1"/>
  <c r="AB13" i="4"/>
  <c r="AD13" i="4" s="1"/>
  <c r="K13" i="4"/>
  <c r="AI13" i="4" s="1"/>
  <c r="I13" i="4"/>
  <c r="H13" i="4"/>
  <c r="T13" i="4" s="1"/>
  <c r="AB12" i="4"/>
  <c r="K12" i="4"/>
  <c r="AI12" i="4" s="1"/>
  <c r="I12" i="4"/>
  <c r="H12" i="4"/>
  <c r="T12" i="4" s="1"/>
  <c r="AB11" i="4"/>
  <c r="AD11" i="4" s="1"/>
  <c r="K11" i="4"/>
  <c r="AI11" i="4" s="1"/>
  <c r="I11" i="4"/>
  <c r="H11" i="4"/>
  <c r="T11" i="4" s="1"/>
  <c r="AB10" i="4"/>
  <c r="AD10" i="4" s="1"/>
  <c r="K10" i="4"/>
  <c r="AI10" i="4" s="1"/>
  <c r="I10" i="4"/>
  <c r="H10" i="4"/>
  <c r="AB9" i="4"/>
  <c r="AD9" i="4" s="1"/>
  <c r="K9" i="4"/>
  <c r="AI9" i="4" s="1"/>
  <c r="I9" i="4"/>
  <c r="H9" i="4"/>
  <c r="T9" i="4" s="1"/>
  <c r="AB8" i="4"/>
  <c r="AD8" i="4" s="1"/>
  <c r="K8" i="4"/>
  <c r="AI8" i="4" s="1"/>
  <c r="I8" i="4"/>
  <c r="H8" i="4"/>
  <c r="T8" i="4" s="1"/>
  <c r="AB7" i="4"/>
  <c r="AD7" i="4" s="1"/>
  <c r="K7" i="4"/>
  <c r="AI7" i="4" s="1"/>
  <c r="I7" i="4"/>
  <c r="H7" i="4"/>
  <c r="AB6" i="4"/>
  <c r="AD6" i="4" s="1"/>
  <c r="K6" i="4"/>
  <c r="AI6" i="4" s="1"/>
  <c r="I6" i="4"/>
  <c r="H6" i="4"/>
  <c r="T6" i="4" s="1"/>
  <c r="AB5" i="4"/>
  <c r="AE5" i="4" s="1"/>
  <c r="AF5" i="4" s="1"/>
  <c r="K5" i="4"/>
  <c r="AI5" i="4" s="1"/>
  <c r="I5" i="4"/>
  <c r="H5" i="4"/>
  <c r="T5" i="4" s="1"/>
  <c r="AB4" i="4"/>
  <c r="AE4" i="4" s="1"/>
  <c r="AF4" i="4" s="1"/>
  <c r="K4" i="4"/>
  <c r="AI4" i="4" s="1"/>
  <c r="I4" i="4"/>
  <c r="H4" i="4"/>
  <c r="T4" i="4" s="1"/>
  <c r="AB3" i="4"/>
  <c r="AD3" i="4" s="1"/>
  <c r="K3" i="4"/>
  <c r="AI3" i="4" s="1"/>
  <c r="I3" i="4"/>
  <c r="H3" i="4"/>
  <c r="T3" i="4" s="1"/>
  <c r="G1" i="4"/>
  <c r="E1" i="4"/>
  <c r="D1" i="4"/>
  <c r="M359" i="4" l="1"/>
  <c r="X359" i="4" s="1"/>
  <c r="AC46" i="4"/>
  <c r="I359" i="4"/>
  <c r="N338" i="4"/>
  <c r="P338" i="4" s="1"/>
  <c r="N327" i="4"/>
  <c r="P327" i="4" s="1"/>
  <c r="M4" i="4"/>
  <c r="M8" i="4"/>
  <c r="N10" i="4"/>
  <c r="O10" i="4" s="1"/>
  <c r="N14" i="4"/>
  <c r="P14" i="4" s="1"/>
  <c r="M70" i="4"/>
  <c r="M78" i="4"/>
  <c r="M102" i="4"/>
  <c r="N174" i="4"/>
  <c r="O174" i="4" s="1"/>
  <c r="M178" i="4"/>
  <c r="N182" i="4"/>
  <c r="O182" i="4" s="1"/>
  <c r="N196" i="4"/>
  <c r="O196" i="4" s="1"/>
  <c r="M198" i="4"/>
  <c r="N200" i="4"/>
  <c r="O200" i="4" s="1"/>
  <c r="M11" i="4"/>
  <c r="AE146" i="4"/>
  <c r="AF146" i="4" s="1"/>
  <c r="AC245" i="4"/>
  <c r="AE245" i="4" s="1"/>
  <c r="AF245" i="4" s="1"/>
  <c r="U285" i="4"/>
  <c r="W285" i="4" s="1"/>
  <c r="N193" i="4"/>
  <c r="P193" i="4" s="1"/>
  <c r="N231" i="4"/>
  <c r="O231" i="4" s="1"/>
  <c r="M253" i="4"/>
  <c r="M291" i="4"/>
  <c r="U58" i="4"/>
  <c r="V58" i="4" s="1"/>
  <c r="AC3" i="4"/>
  <c r="AE3" i="4" s="1"/>
  <c r="AF3" i="4" s="1"/>
  <c r="AC13" i="4"/>
  <c r="AE13" i="4" s="1"/>
  <c r="AF13" i="4" s="1"/>
  <c r="AC170" i="4"/>
  <c r="AE170" i="4" s="1"/>
  <c r="AF170" i="4" s="1"/>
  <c r="N295" i="4"/>
  <c r="P295" i="4" s="1"/>
  <c r="N301" i="4"/>
  <c r="P301" i="4" s="1"/>
  <c r="U39" i="4"/>
  <c r="W39" i="4" s="1"/>
  <c r="U59" i="4"/>
  <c r="W59" i="4" s="1"/>
  <c r="AC220" i="4"/>
  <c r="AE220" i="4" s="1"/>
  <c r="AF220" i="4" s="1"/>
  <c r="U248" i="4"/>
  <c r="V248" i="4" s="1"/>
  <c r="U252" i="4"/>
  <c r="X252" i="4" s="1"/>
  <c r="AC317" i="4"/>
  <c r="AC331" i="4"/>
  <c r="AE331" i="4" s="1"/>
  <c r="AF331" i="4" s="1"/>
  <c r="AC349" i="4"/>
  <c r="N59" i="4"/>
  <c r="P59" i="4" s="1"/>
  <c r="N89" i="4"/>
  <c r="P89" i="4" s="1"/>
  <c r="N99" i="4"/>
  <c r="P99" i="4" s="1"/>
  <c r="N107" i="4"/>
  <c r="P107" i="4" s="1"/>
  <c r="N248" i="4"/>
  <c r="O248" i="4" s="1"/>
  <c r="N252" i="4"/>
  <c r="O252" i="4" s="1"/>
  <c r="M309" i="4"/>
  <c r="N333" i="4"/>
  <c r="P333" i="4" s="1"/>
  <c r="M153" i="4"/>
  <c r="AC155" i="4"/>
  <c r="AC306" i="4"/>
  <c r="AE306" i="4" s="1"/>
  <c r="AF306" i="4" s="1"/>
  <c r="N296" i="4"/>
  <c r="P296" i="4" s="1"/>
  <c r="N16" i="4"/>
  <c r="P16" i="4" s="1"/>
  <c r="N42" i="4"/>
  <c r="P42" i="4" s="1"/>
  <c r="M46" i="4"/>
  <c r="M54" i="4"/>
  <c r="U76" i="4"/>
  <c r="W76" i="4" s="1"/>
  <c r="U78" i="4"/>
  <c r="V78" i="4" s="1"/>
  <c r="U80" i="4"/>
  <c r="V80" i="4" s="1"/>
  <c r="N123" i="4"/>
  <c r="O123" i="4" s="1"/>
  <c r="M166" i="4"/>
  <c r="AH255" i="4"/>
  <c r="N317" i="4"/>
  <c r="O317" i="4" s="1"/>
  <c r="U354" i="4"/>
  <c r="W354" i="4" s="1"/>
  <c r="N261" i="4"/>
  <c r="P261" i="4" s="1"/>
  <c r="N269" i="4"/>
  <c r="O269" i="4" s="1"/>
  <c r="N291" i="4"/>
  <c r="P291" i="4" s="1"/>
  <c r="U322" i="4"/>
  <c r="X322" i="4" s="1"/>
  <c r="I370" i="4"/>
  <c r="M370" i="4" s="1"/>
  <c r="AC380" i="4"/>
  <c r="M19" i="4"/>
  <c r="N35" i="4"/>
  <c r="P35" i="4" s="1"/>
  <c r="N51" i="4"/>
  <c r="P51" i="4" s="1"/>
  <c r="N57" i="4"/>
  <c r="P57" i="4" s="1"/>
  <c r="AC138" i="4"/>
  <c r="AE138" i="4" s="1"/>
  <c r="AF138" i="4" s="1"/>
  <c r="N159" i="4"/>
  <c r="O159" i="4" s="1"/>
  <c r="N320" i="4"/>
  <c r="O320" i="4" s="1"/>
  <c r="M322" i="4"/>
  <c r="AI327" i="4"/>
  <c r="U183" i="4"/>
  <c r="W183" i="4" s="1"/>
  <c r="AC260" i="4"/>
  <c r="AE260" i="4" s="1"/>
  <c r="AF260" i="4" s="1"/>
  <c r="T389" i="4"/>
  <c r="AC389" i="4" s="1"/>
  <c r="AE389" i="4" s="1"/>
  <c r="AF389" i="4" s="1"/>
  <c r="AC185" i="4"/>
  <c r="AE185" i="4" s="1"/>
  <c r="AF185" i="4" s="1"/>
  <c r="U189" i="4"/>
  <c r="W189" i="4" s="1"/>
  <c r="U91" i="4"/>
  <c r="V91" i="4" s="1"/>
  <c r="U105" i="4"/>
  <c r="W105" i="4" s="1"/>
  <c r="U115" i="4"/>
  <c r="W115" i="4" s="1"/>
  <c r="N183" i="4"/>
  <c r="P183" i="4" s="1"/>
  <c r="N189" i="4"/>
  <c r="O189" i="4" s="1"/>
  <c r="AH195" i="4"/>
  <c r="N242" i="4"/>
  <c r="O242" i="4" s="1"/>
  <c r="M256" i="4"/>
  <c r="U340" i="4"/>
  <c r="V340" i="4" s="1"/>
  <c r="I356" i="4"/>
  <c r="N356" i="4" s="1"/>
  <c r="P356" i="4" s="1"/>
  <c r="M367" i="4"/>
  <c r="X367" i="4" s="1"/>
  <c r="U145" i="4"/>
  <c r="W145" i="4" s="1"/>
  <c r="N284" i="4"/>
  <c r="O284" i="4" s="1"/>
  <c r="AH142" i="4"/>
  <c r="N330" i="4"/>
  <c r="P330" i="4" s="1"/>
  <c r="N375" i="4"/>
  <c r="O375" i="4" s="1"/>
  <c r="F1" i="4"/>
  <c r="AC150" i="4"/>
  <c r="AE150" i="4" s="1"/>
  <c r="AF150" i="4" s="1"/>
  <c r="U295" i="4"/>
  <c r="W295" i="4" s="1"/>
  <c r="N45" i="4"/>
  <c r="P45" i="4" s="1"/>
  <c r="U171" i="4"/>
  <c r="W171" i="4" s="1"/>
  <c r="M174" i="4"/>
  <c r="U28" i="4"/>
  <c r="V28" i="4" s="1"/>
  <c r="U139" i="4"/>
  <c r="V139" i="4" s="1"/>
  <c r="AC141" i="4"/>
  <c r="AE141" i="4" s="1"/>
  <c r="AF141" i="4" s="1"/>
  <c r="M150" i="4"/>
  <c r="N186" i="4"/>
  <c r="P186" i="4" s="1"/>
  <c r="N188" i="4"/>
  <c r="O188" i="4" s="1"/>
  <c r="U211" i="4"/>
  <c r="X211" i="4" s="1"/>
  <c r="AH217" i="4"/>
  <c r="AH219" i="4"/>
  <c r="AC234" i="4"/>
  <c r="U244" i="4"/>
  <c r="V244" i="4" s="1"/>
  <c r="U264" i="4"/>
  <c r="X264" i="4" s="1"/>
  <c r="M295" i="4"/>
  <c r="AC299" i="4"/>
  <c r="M314" i="4"/>
  <c r="M325" i="4"/>
  <c r="M327" i="4"/>
  <c r="N342" i="4"/>
  <c r="O342" i="4" s="1"/>
  <c r="U42" i="4"/>
  <c r="X42" i="4" s="1"/>
  <c r="M90" i="4"/>
  <c r="AC100" i="4"/>
  <c r="AE100" i="4" s="1"/>
  <c r="AF100" i="4" s="1"/>
  <c r="U102" i="4"/>
  <c r="W102" i="4" s="1"/>
  <c r="M141" i="4"/>
  <c r="N211" i="4"/>
  <c r="O211" i="4" s="1"/>
  <c r="N219" i="4"/>
  <c r="P219" i="4" s="1"/>
  <c r="U301" i="4"/>
  <c r="V301" i="4" s="1"/>
  <c r="U305" i="4"/>
  <c r="V305" i="4" s="1"/>
  <c r="N11" i="4"/>
  <c r="P11" i="4" s="1"/>
  <c r="U224" i="4"/>
  <c r="V224" i="4" s="1"/>
  <c r="U241" i="4"/>
  <c r="W241" i="4" s="1"/>
  <c r="AI284" i="4"/>
  <c r="U307" i="4"/>
  <c r="W307" i="4" s="1"/>
  <c r="M316" i="4"/>
  <c r="N341" i="4"/>
  <c r="P341" i="4" s="1"/>
  <c r="N346" i="4"/>
  <c r="O346" i="4" s="1"/>
  <c r="AH354" i="4"/>
  <c r="I358" i="4"/>
  <c r="U393" i="4"/>
  <c r="X393" i="4" s="1"/>
  <c r="U258" i="4"/>
  <c r="X258" i="4" s="1"/>
  <c r="I388" i="4"/>
  <c r="M388" i="4" s="1"/>
  <c r="M396" i="4"/>
  <c r="X396" i="4" s="1"/>
  <c r="AH109" i="4"/>
  <c r="AI142" i="4"/>
  <c r="N217" i="4"/>
  <c r="P217" i="4" s="1"/>
  <c r="N244" i="4"/>
  <c r="O244" i="4" s="1"/>
  <c r="N246" i="4"/>
  <c r="P246" i="4" s="1"/>
  <c r="AD258" i="4"/>
  <c r="N272" i="4"/>
  <c r="P272" i="4" s="1"/>
  <c r="AC333" i="4"/>
  <c r="I376" i="4"/>
  <c r="M376" i="4" s="1"/>
  <c r="I385" i="4"/>
  <c r="M385" i="4" s="1"/>
  <c r="AH136" i="4"/>
  <c r="AI242" i="4"/>
  <c r="AD140" i="4"/>
  <c r="N6" i="4"/>
  <c r="P6" i="4" s="1"/>
  <c r="AC50" i="4"/>
  <c r="AE50" i="4" s="1"/>
  <c r="AF50" i="4" s="1"/>
  <c r="AC52" i="4"/>
  <c r="AE81" i="4"/>
  <c r="AF81" i="4" s="1"/>
  <c r="M143" i="4"/>
  <c r="M217" i="4"/>
  <c r="AC243" i="4"/>
  <c r="AE243" i="4" s="1"/>
  <c r="AF243" i="4" s="1"/>
  <c r="M292" i="4"/>
  <c r="I360" i="4"/>
  <c r="I371" i="4"/>
  <c r="N371" i="4" s="1"/>
  <c r="N307" i="4"/>
  <c r="O307" i="4" s="1"/>
  <c r="AC21" i="4"/>
  <c r="AE21" i="4" s="1"/>
  <c r="AF21" i="4" s="1"/>
  <c r="U43" i="4"/>
  <c r="W43" i="4" s="1"/>
  <c r="U60" i="4"/>
  <c r="W60" i="4" s="1"/>
  <c r="U62" i="4"/>
  <c r="W62" i="4" s="1"/>
  <c r="N78" i="4"/>
  <c r="O78" i="4" s="1"/>
  <c r="U82" i="4"/>
  <c r="V82" i="4" s="1"/>
  <c r="N102" i="4"/>
  <c r="P102" i="4" s="1"/>
  <c r="U114" i="4"/>
  <c r="X114" i="4" s="1"/>
  <c r="U140" i="4"/>
  <c r="W140" i="4" s="1"/>
  <c r="M145" i="4"/>
  <c r="M199" i="4"/>
  <c r="N223" i="4"/>
  <c r="P223" i="4" s="1"/>
  <c r="M271" i="4"/>
  <c r="M330" i="4"/>
  <c r="M333" i="4"/>
  <c r="U337" i="4"/>
  <c r="W337" i="4" s="1"/>
  <c r="T357" i="4"/>
  <c r="AH357" i="4" s="1"/>
  <c r="M400" i="4"/>
  <c r="X400" i="4" s="1"/>
  <c r="AD5" i="4"/>
  <c r="N349" i="4"/>
  <c r="O349" i="4" s="1"/>
  <c r="AH14" i="4"/>
  <c r="M25" i="4"/>
  <c r="N62" i="4"/>
  <c r="P62" i="4" s="1"/>
  <c r="U75" i="4"/>
  <c r="W75" i="4" s="1"/>
  <c r="AC86" i="4"/>
  <c r="AE86" i="4" s="1"/>
  <c r="AF86" i="4" s="1"/>
  <c r="N114" i="4"/>
  <c r="O114" i="4" s="1"/>
  <c r="U116" i="4"/>
  <c r="W116" i="4" s="1"/>
  <c r="AH158" i="4"/>
  <c r="AH159" i="4"/>
  <c r="AC178" i="4"/>
  <c r="AE178" i="4" s="1"/>
  <c r="AF178" i="4" s="1"/>
  <c r="AD182" i="4"/>
  <c r="AC186" i="4"/>
  <c r="AE186" i="4" s="1"/>
  <c r="AF186" i="4" s="1"/>
  <c r="M242" i="4"/>
  <c r="AC251" i="4"/>
  <c r="AE251" i="4" s="1"/>
  <c r="AF251" i="4" s="1"/>
  <c r="N258" i="4"/>
  <c r="P258" i="4" s="1"/>
  <c r="U263" i="4"/>
  <c r="W263" i="4" s="1"/>
  <c r="U296" i="4"/>
  <c r="X296" i="4" s="1"/>
  <c r="M307" i="4"/>
  <c r="M337" i="4"/>
  <c r="M360" i="4"/>
  <c r="X360" i="4" s="1"/>
  <c r="U231" i="4"/>
  <c r="X231" i="4" s="1"/>
  <c r="AC231" i="4"/>
  <c r="AC308" i="4"/>
  <c r="AE308" i="4" s="1"/>
  <c r="AF308" i="4" s="1"/>
  <c r="AH308" i="4"/>
  <c r="M3" i="4"/>
  <c r="N19" i="4"/>
  <c r="P19" i="4" s="1"/>
  <c r="M28" i="4"/>
  <c r="M39" i="4"/>
  <c r="M48" i="4"/>
  <c r="AE52" i="4"/>
  <c r="AF52" i="4" s="1"/>
  <c r="N70" i="4"/>
  <c r="P70" i="4" s="1"/>
  <c r="N87" i="4"/>
  <c r="P87" i="4" s="1"/>
  <c r="U89" i="4"/>
  <c r="V89" i="4" s="1"/>
  <c r="N90" i="4"/>
  <c r="O90" i="4" s="1"/>
  <c r="M94" i="4"/>
  <c r="N127" i="4"/>
  <c r="P127" i="4" s="1"/>
  <c r="AE137" i="4"/>
  <c r="AF137" i="4" s="1"/>
  <c r="M139" i="4"/>
  <c r="AH168" i="4"/>
  <c r="M188" i="4"/>
  <c r="AE205" i="4"/>
  <c r="AF205" i="4" s="1"/>
  <c r="M208" i="4"/>
  <c r="AC235" i="4"/>
  <c r="AE235" i="4" s="1"/>
  <c r="AF235" i="4" s="1"/>
  <c r="AE249" i="4"/>
  <c r="AF249" i="4" s="1"/>
  <c r="U251" i="4"/>
  <c r="V251" i="4" s="1"/>
  <c r="AH263" i="4"/>
  <c r="AE272" i="4"/>
  <c r="AF272" i="4" s="1"/>
  <c r="U284" i="4"/>
  <c r="W284" i="4" s="1"/>
  <c r="N300" i="4"/>
  <c r="P300" i="4" s="1"/>
  <c r="AE318" i="4"/>
  <c r="AF318" i="4" s="1"/>
  <c r="AC337" i="4"/>
  <c r="U360" i="4"/>
  <c r="W360" i="4" s="1"/>
  <c r="Z360" i="4" s="1"/>
  <c r="N22" i="4"/>
  <c r="P22" i="4" s="1"/>
  <c r="U27" i="4"/>
  <c r="V27" i="4" s="1"/>
  <c r="U38" i="4"/>
  <c r="W38" i="4" s="1"/>
  <c r="M47" i="4"/>
  <c r="N63" i="4"/>
  <c r="O63" i="4" s="1"/>
  <c r="M89" i="4"/>
  <c r="M98" i="4"/>
  <c r="AH102" i="4"/>
  <c r="AH135" i="4"/>
  <c r="U167" i="4"/>
  <c r="W167" i="4" s="1"/>
  <c r="M192" i="4"/>
  <c r="AC194" i="4"/>
  <c r="AE194" i="4" s="1"/>
  <c r="AF194" i="4" s="1"/>
  <c r="U225" i="4"/>
  <c r="W225" i="4" s="1"/>
  <c r="AH248" i="4"/>
  <c r="M261" i="4"/>
  <c r="N271" i="4"/>
  <c r="P271" i="4" s="1"/>
  <c r="U273" i="4"/>
  <c r="X273" i="4" s="1"/>
  <c r="M279" i="4"/>
  <c r="AE285" i="4"/>
  <c r="AF285" i="4" s="1"/>
  <c r="U297" i="4"/>
  <c r="V297" i="4" s="1"/>
  <c r="U302" i="4"/>
  <c r="W302" i="4" s="1"/>
  <c r="AH304" i="4"/>
  <c r="AH311" i="4"/>
  <c r="N314" i="4"/>
  <c r="P314" i="4" s="1"/>
  <c r="AD337" i="4"/>
  <c r="N354" i="4"/>
  <c r="O354" i="4" s="1"/>
  <c r="AH380" i="4"/>
  <c r="M386" i="4"/>
  <c r="AC395" i="4"/>
  <c r="AE395" i="4" s="1"/>
  <c r="AF395" i="4" s="1"/>
  <c r="N3" i="4"/>
  <c r="P3" i="4" s="1"/>
  <c r="N13" i="4"/>
  <c r="P13" i="4" s="1"/>
  <c r="N24" i="4"/>
  <c r="P24" i="4" s="1"/>
  <c r="N27" i="4"/>
  <c r="P27" i="4" s="1"/>
  <c r="N30" i="4"/>
  <c r="AC35" i="4"/>
  <c r="M38" i="4"/>
  <c r="M53" i="4"/>
  <c r="N60" i="4"/>
  <c r="P60" i="4" s="1"/>
  <c r="N79" i="4"/>
  <c r="N110" i="4"/>
  <c r="P110" i="4" s="1"/>
  <c r="M126" i="4"/>
  <c r="N131" i="4"/>
  <c r="O131" i="4" s="1"/>
  <c r="N138" i="4"/>
  <c r="P138" i="4" s="1"/>
  <c r="M142" i="4"/>
  <c r="U159" i="4"/>
  <c r="W159" i="4" s="1"/>
  <c r="N167" i="4"/>
  <c r="O167" i="4" s="1"/>
  <c r="AI168" i="4"/>
  <c r="M207" i="4"/>
  <c r="M214" i="4"/>
  <c r="N218" i="4"/>
  <c r="O218" i="4" s="1"/>
  <c r="M225" i="4"/>
  <c r="U229" i="4"/>
  <c r="W229" i="4" s="1"/>
  <c r="AH252" i="4"/>
  <c r="AH261" i="4"/>
  <c r="N270" i="4"/>
  <c r="O270" i="4" s="1"/>
  <c r="X278" i="4"/>
  <c r="M319" i="4"/>
  <c r="AC158" i="4"/>
  <c r="AE158" i="4" s="1"/>
  <c r="AF158" i="4" s="1"/>
  <c r="U196" i="4"/>
  <c r="X196" i="4" s="1"/>
  <c r="AH216" i="4"/>
  <c r="AH251" i="4"/>
  <c r="AH253" i="4"/>
  <c r="N18" i="4"/>
  <c r="O18" i="4" s="1"/>
  <c r="AE19" i="4"/>
  <c r="AF19" i="4" s="1"/>
  <c r="M24" i="4"/>
  <c r="N26" i="4"/>
  <c r="P26" i="4" s="1"/>
  <c r="M27" i="4"/>
  <c r="N38" i="4"/>
  <c r="P38" i="4" s="1"/>
  <c r="AC39" i="4"/>
  <c r="N43" i="4"/>
  <c r="P43" i="4" s="1"/>
  <c r="AD47" i="4"/>
  <c r="M49" i="4"/>
  <c r="AH62" i="4"/>
  <c r="M107" i="4"/>
  <c r="AC109" i="4"/>
  <c r="AE109" i="4" s="1"/>
  <c r="AF109" i="4" s="1"/>
  <c r="AH123" i="4"/>
  <c r="N126" i="4"/>
  <c r="P126" i="4" s="1"/>
  <c r="N142" i="4"/>
  <c r="P142" i="4" s="1"/>
  <c r="M167" i="4"/>
  <c r="U201" i="4"/>
  <c r="V201" i="4" s="1"/>
  <c r="N206" i="4"/>
  <c r="N214" i="4"/>
  <c r="O214" i="4" s="1"/>
  <c r="N216" i="4"/>
  <c r="O216" i="4" s="1"/>
  <c r="M218" i="4"/>
  <c r="AC222" i="4"/>
  <c r="AC227" i="4"/>
  <c r="AE227" i="4" s="1"/>
  <c r="AF227" i="4" s="1"/>
  <c r="U247" i="4"/>
  <c r="X247" i="4" s="1"/>
  <c r="AH254" i="4"/>
  <c r="N257" i="4"/>
  <c r="P257" i="4" s="1"/>
  <c r="AC265" i="4"/>
  <c r="N278" i="4"/>
  <c r="P278" i="4" s="1"/>
  <c r="N319" i="4"/>
  <c r="M335" i="4"/>
  <c r="N348" i="4"/>
  <c r="P348" i="4" s="1"/>
  <c r="I373" i="4"/>
  <c r="N373" i="4" s="1"/>
  <c r="P373" i="4" s="1"/>
  <c r="I396" i="4"/>
  <c r="N7" i="4"/>
  <c r="O7" i="4" s="1"/>
  <c r="M12" i="4"/>
  <c r="N15" i="4"/>
  <c r="P15" i="4" s="1"/>
  <c r="N34" i="4"/>
  <c r="P34" i="4" s="1"/>
  <c r="M45" i="4"/>
  <c r="AH50" i="4"/>
  <c r="M62" i="4"/>
  <c r="M81" i="4"/>
  <c r="U90" i="4"/>
  <c r="V90" i="4" s="1"/>
  <c r="AH99" i="4"/>
  <c r="M106" i="4"/>
  <c r="M109" i="4"/>
  <c r="N132" i="4"/>
  <c r="P132" i="4" s="1"/>
  <c r="AE143" i="4"/>
  <c r="AF143" i="4" s="1"/>
  <c r="U155" i="4"/>
  <c r="W155" i="4" s="1"/>
  <c r="M159" i="4"/>
  <c r="M161" i="4"/>
  <c r="M182" i="4"/>
  <c r="M183" i="4"/>
  <c r="U216" i="4"/>
  <c r="V216" i="4" s="1"/>
  <c r="N224" i="4"/>
  <c r="O224" i="4" s="1"/>
  <c r="M244" i="4"/>
  <c r="N266" i="4"/>
  <c r="P266" i="4" s="1"/>
  <c r="AH269" i="4"/>
  <c r="AE278" i="4"/>
  <c r="AF278" i="4" s="1"/>
  <c r="AH283" i="4"/>
  <c r="N293" i="4"/>
  <c r="O293" i="4" s="1"/>
  <c r="N303" i="4"/>
  <c r="P303" i="4" s="1"/>
  <c r="M312" i="4"/>
  <c r="M317" i="4"/>
  <c r="AD329" i="4"/>
  <c r="U347" i="4"/>
  <c r="V347" i="4" s="1"/>
  <c r="N355" i="4"/>
  <c r="O355" i="4" s="1"/>
  <c r="I380" i="4"/>
  <c r="M380" i="4" s="1"/>
  <c r="I399" i="4"/>
  <c r="T400" i="4"/>
  <c r="AH400" i="4" s="1"/>
  <c r="M15" i="4"/>
  <c r="U19" i="4"/>
  <c r="V19" i="4" s="1"/>
  <c r="M34" i="4"/>
  <c r="AC43" i="4"/>
  <c r="U66" i="4"/>
  <c r="X66" i="4" s="1"/>
  <c r="U68" i="4"/>
  <c r="W68" i="4" s="1"/>
  <c r="N81" i="4"/>
  <c r="O81" i="4" s="1"/>
  <c r="AC264" i="4"/>
  <c r="AI278" i="4"/>
  <c r="M287" i="4"/>
  <c r="N309" i="4"/>
  <c r="N322" i="4"/>
  <c r="P322" i="4" s="1"/>
  <c r="AH327" i="4"/>
  <c r="U330" i="4"/>
  <c r="V330" i="4" s="1"/>
  <c r="M354" i="4"/>
  <c r="M358" i="4"/>
  <c r="X358" i="4" s="1"/>
  <c r="I367" i="4"/>
  <c r="I372" i="4"/>
  <c r="M372" i="4" s="1"/>
  <c r="M399" i="4"/>
  <c r="X399" i="4" s="1"/>
  <c r="AH103" i="4"/>
  <c r="AC103" i="4"/>
  <c r="AE103" i="4" s="1"/>
  <c r="AF103" i="4" s="1"/>
  <c r="U147" i="4"/>
  <c r="X147" i="4" s="1"/>
  <c r="AC147" i="4"/>
  <c r="AH152" i="4"/>
  <c r="AI152" i="4"/>
  <c r="AI157" i="4"/>
  <c r="M157" i="4"/>
  <c r="AC190" i="4"/>
  <c r="AE190" i="4" s="1"/>
  <c r="AF190" i="4" s="1"/>
  <c r="U190" i="4"/>
  <c r="W190" i="4" s="1"/>
  <c r="M7" i="4"/>
  <c r="AE10" i="4"/>
  <c r="AF10" i="4" s="1"/>
  <c r="M33" i="4"/>
  <c r="N33" i="4"/>
  <c r="P33" i="4" s="1"/>
  <c r="N46" i="4"/>
  <c r="N54" i="4"/>
  <c r="N56" i="4"/>
  <c r="P56" i="4" s="1"/>
  <c r="M56" i="4"/>
  <c r="U72" i="4"/>
  <c r="X72" i="4" s="1"/>
  <c r="AH72" i="4"/>
  <c r="AH80" i="4"/>
  <c r="AH130" i="4"/>
  <c r="M130" i="4"/>
  <c r="AI130" i="4"/>
  <c r="M16" i="4"/>
  <c r="U36" i="4"/>
  <c r="W36" i="4" s="1"/>
  <c r="AD37" i="4"/>
  <c r="AH45" i="4"/>
  <c r="AI45" i="4"/>
  <c r="AC53" i="4"/>
  <c r="AE53" i="4" s="1"/>
  <c r="AF53" i="4" s="1"/>
  <c r="AI56" i="4"/>
  <c r="AH56" i="4"/>
  <c r="N94" i="4"/>
  <c r="P94" i="4" s="1"/>
  <c r="M113" i="4"/>
  <c r="N113" i="4"/>
  <c r="AD135" i="4"/>
  <c r="N151" i="4"/>
  <c r="O151" i="4" s="1"/>
  <c r="M151" i="4"/>
  <c r="AH157" i="4"/>
  <c r="U163" i="4"/>
  <c r="W163" i="4" s="1"/>
  <c r="AC163" i="4"/>
  <c r="N32" i="4"/>
  <c r="P32" i="4" s="1"/>
  <c r="M73" i="4"/>
  <c r="N73" i="4"/>
  <c r="P73" i="4" s="1"/>
  <c r="N88" i="4"/>
  <c r="O88" i="4" s="1"/>
  <c r="AI88" i="4"/>
  <c r="AH122" i="4"/>
  <c r="AI122" i="4"/>
  <c r="M122" i="4"/>
  <c r="U144" i="4"/>
  <c r="V144" i="4" s="1"/>
  <c r="AH144" i="4"/>
  <c r="AI187" i="4"/>
  <c r="AH187" i="4"/>
  <c r="N187" i="4"/>
  <c r="O187" i="4" s="1"/>
  <c r="U20" i="4"/>
  <c r="W20" i="4" s="1"/>
  <c r="AC49" i="4"/>
  <c r="U49" i="4"/>
  <c r="X49" i="4" s="1"/>
  <c r="AH162" i="4"/>
  <c r="N162" i="4"/>
  <c r="O162" i="4" s="1"/>
  <c r="U70" i="4"/>
  <c r="X70" i="4" s="1"/>
  <c r="AH70" i="4"/>
  <c r="AE98" i="4"/>
  <c r="AF98" i="4" s="1"/>
  <c r="AD98" i="4"/>
  <c r="N23" i="4"/>
  <c r="O23" i="4" s="1"/>
  <c r="M23" i="4"/>
  <c r="N29" i="4"/>
  <c r="O29" i="4" s="1"/>
  <c r="M35" i="4"/>
  <c r="U46" i="4"/>
  <c r="V46" i="4" s="1"/>
  <c r="U51" i="4"/>
  <c r="W51" i="4" s="1"/>
  <c r="AC58" i="4"/>
  <c r="AE58" i="4" s="1"/>
  <c r="AF58" i="4" s="1"/>
  <c r="AD88" i="4"/>
  <c r="AE88" i="4"/>
  <c r="AF88" i="4" s="1"/>
  <c r="N112" i="4"/>
  <c r="P112" i="4" s="1"/>
  <c r="M112" i="4"/>
  <c r="N147" i="4"/>
  <c r="P147" i="4" s="1"/>
  <c r="M147" i="4"/>
  <c r="AC37" i="4"/>
  <c r="U37" i="4"/>
  <c r="X37" i="4" s="1"/>
  <c r="AH97" i="4"/>
  <c r="AI97" i="4"/>
  <c r="M65" i="4"/>
  <c r="N65" i="4"/>
  <c r="O65" i="4" s="1"/>
  <c r="AC4" i="4"/>
  <c r="AD68" i="4"/>
  <c r="AE68" i="4"/>
  <c r="AF68" i="4" s="1"/>
  <c r="N5" i="4"/>
  <c r="P5" i="4" s="1"/>
  <c r="AC12" i="4"/>
  <c r="M20" i="4"/>
  <c r="AH35" i="4"/>
  <c r="AI35" i="4"/>
  <c r="M37" i="4"/>
  <c r="N40" i="4"/>
  <c r="P40" i="4" s="1"/>
  <c r="AH49" i="4"/>
  <c r="N50" i="4"/>
  <c r="O50" i="4" s="1"/>
  <c r="N64" i="4"/>
  <c r="P64" i="4" s="1"/>
  <c r="N76" i="4"/>
  <c r="N86" i="4"/>
  <c r="U88" i="4"/>
  <c r="X88" i="4" s="1"/>
  <c r="M97" i="4"/>
  <c r="M99" i="4"/>
  <c r="AI109" i="4"/>
  <c r="AE114" i="4"/>
  <c r="AF114" i="4" s="1"/>
  <c r="M120" i="4"/>
  <c r="M129" i="4"/>
  <c r="N129" i="4"/>
  <c r="AI136" i="4"/>
  <c r="AI150" i="4"/>
  <c r="AH150" i="4"/>
  <c r="N150" i="4"/>
  <c r="AC154" i="4"/>
  <c r="AE154" i="4" s="1"/>
  <c r="AF154" i="4" s="1"/>
  <c r="M200" i="4"/>
  <c r="AH207" i="4"/>
  <c r="AH211" i="4"/>
  <c r="AH225" i="4"/>
  <c r="M170" i="4"/>
  <c r="N170" i="4"/>
  <c r="P170" i="4" s="1"/>
  <c r="N239" i="4"/>
  <c r="M239" i="4"/>
  <c r="M9" i="4"/>
  <c r="U11" i="4"/>
  <c r="W11" i="4" s="1"/>
  <c r="M40" i="4"/>
  <c r="T64" i="4"/>
  <c r="AC64" i="4" s="1"/>
  <c r="AE64" i="4" s="1"/>
  <c r="AF64" i="4" s="1"/>
  <c r="N68" i="4"/>
  <c r="N71" i="4"/>
  <c r="N83" i="4"/>
  <c r="O83" i="4" s="1"/>
  <c r="AC85" i="4"/>
  <c r="AC88" i="4"/>
  <c r="N96" i="4"/>
  <c r="P96" i="4" s="1"/>
  <c r="M118" i="4"/>
  <c r="U123" i="4"/>
  <c r="V123" i="4" s="1"/>
  <c r="AC126" i="4"/>
  <c r="U135" i="4"/>
  <c r="X135" i="4" s="1"/>
  <c r="AC135" i="4"/>
  <c r="M137" i="4"/>
  <c r="N139" i="4"/>
  <c r="P139" i="4" s="1"/>
  <c r="M173" i="4"/>
  <c r="AH186" i="4"/>
  <c r="AI199" i="4"/>
  <c r="U199" i="4"/>
  <c r="X199" i="4" s="1"/>
  <c r="N209" i="4"/>
  <c r="N215" i="4"/>
  <c r="P215" i="4" s="1"/>
  <c r="M215" i="4"/>
  <c r="M223" i="4"/>
  <c r="M226" i="4"/>
  <c r="N226" i="4"/>
  <c r="O226" i="4" s="1"/>
  <c r="M234" i="4"/>
  <c r="N234" i="4"/>
  <c r="AH96" i="4"/>
  <c r="M121" i="4"/>
  <c r="N121" i="4"/>
  <c r="AI125" i="4"/>
  <c r="N125" i="4"/>
  <c r="O125" i="4" s="1"/>
  <c r="AI181" i="4"/>
  <c r="M181" i="4"/>
  <c r="N199" i="4"/>
  <c r="P199" i="4" s="1"/>
  <c r="AI207" i="4"/>
  <c r="AC217" i="4"/>
  <c r="AE217" i="4" s="1"/>
  <c r="AF217" i="4" s="1"/>
  <c r="AH223" i="4"/>
  <c r="U223" i="4"/>
  <c r="V223" i="4" s="1"/>
  <c r="N250" i="4"/>
  <c r="O250" i="4" s="1"/>
  <c r="AI250" i="4"/>
  <c r="M17" i="4"/>
  <c r="AH48" i="4"/>
  <c r="T54" i="4"/>
  <c r="U54" i="4" s="1"/>
  <c r="X54" i="4" s="1"/>
  <c r="N74" i="4"/>
  <c r="O74" i="4" s="1"/>
  <c r="AH78" i="4"/>
  <c r="AC95" i="4"/>
  <c r="U109" i="4"/>
  <c r="V109" i="4" s="1"/>
  <c r="M110" i="4"/>
  <c r="AH114" i="4"/>
  <c r="AH115" i="4"/>
  <c r="AI115" i="4"/>
  <c r="N118" i="4"/>
  <c r="AI123" i="4"/>
  <c r="AD126" i="4"/>
  <c r="N128" i="4"/>
  <c r="P128" i="4" s="1"/>
  <c r="M128" i="4"/>
  <c r="U130" i="4"/>
  <c r="U158" i="4"/>
  <c r="X158" i="4" s="1"/>
  <c r="N158" i="4"/>
  <c r="M189" i="4"/>
  <c r="AI192" i="4"/>
  <c r="AH192" i="4"/>
  <c r="AE193" i="4"/>
  <c r="AF193" i="4" s="1"/>
  <c r="AD193" i="4"/>
  <c r="AI206" i="4"/>
  <c r="U209" i="4"/>
  <c r="X209" i="4" s="1"/>
  <c r="AI222" i="4"/>
  <c r="M222" i="4"/>
  <c r="N225" i="4"/>
  <c r="AH236" i="4"/>
  <c r="N236" i="4"/>
  <c r="O236" i="4" s="1"/>
  <c r="AI236" i="4"/>
  <c r="N8" i="4"/>
  <c r="O8" i="4" s="1"/>
  <c r="N21" i="4"/>
  <c r="O21" i="4" s="1"/>
  <c r="AH32" i="4"/>
  <c r="M41" i="4"/>
  <c r="AC45" i="4"/>
  <c r="AE45" i="4" s="1"/>
  <c r="AF45" i="4" s="1"/>
  <c r="M57" i="4"/>
  <c r="U85" i="4"/>
  <c r="V85" i="4" s="1"/>
  <c r="M88" i="4"/>
  <c r="N95" i="4"/>
  <c r="P95" i="4" s="1"/>
  <c r="AI99" i="4"/>
  <c r="N108" i="4"/>
  <c r="O108" i="4" s="1"/>
  <c r="N115" i="4"/>
  <c r="O115" i="4" s="1"/>
  <c r="U131" i="4"/>
  <c r="V131" i="4" s="1"/>
  <c r="T132" i="4"/>
  <c r="U132" i="4" s="1"/>
  <c r="X132" i="4" s="1"/>
  <c r="M134" i="4"/>
  <c r="N134" i="4"/>
  <c r="M135" i="4"/>
  <c r="U137" i="4"/>
  <c r="W137" i="4" s="1"/>
  <c r="AC139" i="4"/>
  <c r="AH149" i="4"/>
  <c r="T151" i="4"/>
  <c r="AC151" i="4" s="1"/>
  <c r="AE151" i="4" s="1"/>
  <c r="AF151" i="4" s="1"/>
  <c r="M158" i="4"/>
  <c r="N166" i="4"/>
  <c r="M168" i="4"/>
  <c r="N168" i="4"/>
  <c r="AC177" i="4"/>
  <c r="AE177" i="4" s="1"/>
  <c r="AF177" i="4" s="1"/>
  <c r="N191" i="4"/>
  <c r="M191" i="4"/>
  <c r="N192" i="4"/>
  <c r="P192" i="4" s="1"/>
  <c r="N203" i="4"/>
  <c r="T212" i="4"/>
  <c r="U212" i="4" s="1"/>
  <c r="X212" i="4" s="1"/>
  <c r="N222" i="4"/>
  <c r="P222" i="4" s="1"/>
  <c r="AH228" i="4"/>
  <c r="U175" i="4"/>
  <c r="W175" i="4" s="1"/>
  <c r="AH175" i="4"/>
  <c r="AH191" i="4"/>
  <c r="AI191" i="4"/>
  <c r="U122" i="4"/>
  <c r="W122" i="4" s="1"/>
  <c r="AH131" i="4"/>
  <c r="AI131" i="4"/>
  <c r="AH143" i="4"/>
  <c r="AC143" i="4"/>
  <c r="U143" i="4"/>
  <c r="W143" i="4" s="1"/>
  <c r="AH181" i="4"/>
  <c r="U208" i="4"/>
  <c r="W208" i="4" s="1"/>
  <c r="AI230" i="4"/>
  <c r="N230" i="4"/>
  <c r="P230" i="4" s="1"/>
  <c r="AI233" i="4"/>
  <c r="N233" i="4"/>
  <c r="P233" i="4" s="1"/>
  <c r="M233" i="4"/>
  <c r="N243" i="4"/>
  <c r="P243" i="4" s="1"/>
  <c r="M243" i="4"/>
  <c r="U136" i="4"/>
  <c r="V136" i="4" s="1"/>
  <c r="AC137" i="4"/>
  <c r="AH138" i="4"/>
  <c r="M144" i="4"/>
  <c r="U153" i="4"/>
  <c r="W153" i="4" s="1"/>
  <c r="M160" i="4"/>
  <c r="U161" i="4"/>
  <c r="W161" i="4" s="1"/>
  <c r="AC162" i="4"/>
  <c r="AE162" i="4" s="1"/>
  <c r="AF162" i="4" s="1"/>
  <c r="N165" i="4"/>
  <c r="P165" i="4" s="1"/>
  <c r="N172" i="4"/>
  <c r="O172" i="4" s="1"/>
  <c r="AH178" i="4"/>
  <c r="U179" i="4"/>
  <c r="V179" i="4" s="1"/>
  <c r="N181" i="4"/>
  <c r="AH183" i="4"/>
  <c r="Q187" i="4"/>
  <c r="AH189" i="4"/>
  <c r="AH190" i="4"/>
  <c r="M206" i="4"/>
  <c r="N207" i="4"/>
  <c r="P207" i="4" s="1"/>
  <c r="N235" i="4"/>
  <c r="P235" i="4" s="1"/>
  <c r="U236" i="4"/>
  <c r="X236" i="4" s="1"/>
  <c r="U243" i="4"/>
  <c r="V243" i="4" s="1"/>
  <c r="AD265" i="4"/>
  <c r="AH273" i="4"/>
  <c r="W278" i="4"/>
  <c r="V278" i="4"/>
  <c r="N288" i="4"/>
  <c r="P288" i="4" s="1"/>
  <c r="N292" i="4"/>
  <c r="N298" i="4"/>
  <c r="AE300" i="4"/>
  <c r="AF300" i="4" s="1"/>
  <c r="AI305" i="4"/>
  <c r="AH305" i="4"/>
  <c r="AE319" i="4"/>
  <c r="AF319" i="4" s="1"/>
  <c r="U376" i="4"/>
  <c r="V376" i="4" s="1"/>
  <c r="AH376" i="4"/>
  <c r="U274" i="4"/>
  <c r="W274" i="4" s="1"/>
  <c r="AC274" i="4"/>
  <c r="AE274" i="4" s="1"/>
  <c r="AF274" i="4" s="1"/>
  <c r="U388" i="4"/>
  <c r="V388" i="4" s="1"/>
  <c r="AC388" i="4"/>
  <c r="N122" i="4"/>
  <c r="O122" i="4" s="1"/>
  <c r="N130" i="4"/>
  <c r="P130" i="4" s="1"/>
  <c r="U142" i="4"/>
  <c r="W142" i="4" s="1"/>
  <c r="N144" i="4"/>
  <c r="O144" i="4" s="1"/>
  <c r="N148" i="4"/>
  <c r="P148" i="4" s="1"/>
  <c r="N160" i="4"/>
  <c r="O160" i="4" s="1"/>
  <c r="AC161" i="4"/>
  <c r="AE161" i="4" s="1"/>
  <c r="AF161" i="4" s="1"/>
  <c r="M165" i="4"/>
  <c r="M176" i="4"/>
  <c r="M184" i="4"/>
  <c r="N197" i="4"/>
  <c r="AC204" i="4"/>
  <c r="AE204" i="4" s="1"/>
  <c r="AF204" i="4" s="1"/>
  <c r="M228" i="4"/>
  <c r="AH231" i="4"/>
  <c r="M238" i="4"/>
  <c r="N251" i="4"/>
  <c r="AC253" i="4"/>
  <c r="U253" i="4"/>
  <c r="W253" i="4" s="1"/>
  <c r="M255" i="4"/>
  <c r="N255" i="4"/>
  <c r="O255" i="4" s="1"/>
  <c r="U260" i="4"/>
  <c r="W260" i="4" s="1"/>
  <c r="M277" i="4"/>
  <c r="AC283" i="4"/>
  <c r="AE283" i="4" s="1"/>
  <c r="AF283" i="4" s="1"/>
  <c r="U283" i="4"/>
  <c r="W283" i="4" s="1"/>
  <c r="AH287" i="4"/>
  <c r="AI287" i="4"/>
  <c r="AD299" i="4"/>
  <c r="M304" i="4"/>
  <c r="AH316" i="4"/>
  <c r="AE327" i="4"/>
  <c r="AF327" i="4" s="1"/>
  <c r="T361" i="4"/>
  <c r="AC361" i="4" s="1"/>
  <c r="AE361" i="4" s="1"/>
  <c r="AF361" i="4" s="1"/>
  <c r="M361" i="4"/>
  <c r="X361" i="4" s="1"/>
  <c r="I361" i="4"/>
  <c r="T363" i="4"/>
  <c r="U363" i="4" s="1"/>
  <c r="M363" i="4"/>
  <c r="X363" i="4" s="1"/>
  <c r="I363" i="4"/>
  <c r="T365" i="4"/>
  <c r="U365" i="4" s="1"/>
  <c r="M365" i="4"/>
  <c r="X365" i="4" s="1"/>
  <c r="I365" i="4"/>
  <c r="U372" i="4"/>
  <c r="X372" i="4" s="1"/>
  <c r="AC372" i="4"/>
  <c r="AE372" i="4" s="1"/>
  <c r="AF372" i="4" s="1"/>
  <c r="I381" i="4"/>
  <c r="N381" i="4" s="1"/>
  <c r="T381" i="4"/>
  <c r="AC381" i="4" s="1"/>
  <c r="AE381" i="4" s="1"/>
  <c r="AF381" i="4" s="1"/>
  <c r="AD399" i="4"/>
  <c r="AC399" i="4"/>
  <c r="N247" i="4"/>
  <c r="P247" i="4" s="1"/>
  <c r="M247" i="4"/>
  <c r="N254" i="4"/>
  <c r="O254" i="4" s="1"/>
  <c r="M254" i="4"/>
  <c r="M269" i="4"/>
  <c r="N283" i="4"/>
  <c r="P283" i="4" s="1"/>
  <c r="M283" i="4"/>
  <c r="N287" i="4"/>
  <c r="O287" i="4" s="1"/>
  <c r="AH292" i="4"/>
  <c r="AH294" i="4"/>
  <c r="AI294" i="4"/>
  <c r="N312" i="4"/>
  <c r="AI316" i="4"/>
  <c r="N335" i="4"/>
  <c r="AC157" i="4"/>
  <c r="AE157" i="4" s="1"/>
  <c r="AF157" i="4" s="1"/>
  <c r="AH167" i="4"/>
  <c r="AH170" i="4"/>
  <c r="N175" i="4"/>
  <c r="P175" i="4" s="1"/>
  <c r="N176" i="4"/>
  <c r="O176" i="4" s="1"/>
  <c r="N184" i="4"/>
  <c r="M196" i="4"/>
  <c r="M197" i="4"/>
  <c r="M203" i="4"/>
  <c r="M211" i="4"/>
  <c r="N212" i="4"/>
  <c r="M219" i="4"/>
  <c r="AC230" i="4"/>
  <c r="AE230" i="4" s="1"/>
  <c r="AF230" i="4" s="1"/>
  <c r="T233" i="4"/>
  <c r="U233" i="4" s="1"/>
  <c r="X233" i="4" s="1"/>
  <c r="AH247" i="4"/>
  <c r="U250" i="4"/>
  <c r="V250" i="4" s="1"/>
  <c r="M251" i="4"/>
  <c r="U255" i="4"/>
  <c r="W255" i="4" s="1"/>
  <c r="N259" i="4"/>
  <c r="P259" i="4" s="1"/>
  <c r="M264" i="4"/>
  <c r="N264" i="4"/>
  <c r="AC268" i="4"/>
  <c r="AE268" i="4" s="1"/>
  <c r="AF268" i="4" s="1"/>
  <c r="U268" i="4"/>
  <c r="W268" i="4" s="1"/>
  <c r="AH271" i="4"/>
  <c r="M273" i="4"/>
  <c r="N273" i="4"/>
  <c r="P273" i="4" s="1"/>
  <c r="N277" i="4"/>
  <c r="U286" i="4"/>
  <c r="X286" i="4" s="1"/>
  <c r="U287" i="4"/>
  <c r="X287" i="4" s="1"/>
  <c r="AC287" i="4"/>
  <c r="AE287" i="4" s="1"/>
  <c r="AF287" i="4" s="1"/>
  <c r="AI292" i="4"/>
  <c r="U294" i="4"/>
  <c r="X294" i="4" s="1"/>
  <c r="AH302" i="4"/>
  <c r="N304" i="4"/>
  <c r="O304" i="4" s="1"/>
  <c r="AC309" i="4"/>
  <c r="AE309" i="4" s="1"/>
  <c r="AF309" i="4" s="1"/>
  <c r="AC316" i="4"/>
  <c r="AE316" i="4" s="1"/>
  <c r="AF316" i="4" s="1"/>
  <c r="U316" i="4"/>
  <c r="X316" i="4" s="1"/>
  <c r="M321" i="4"/>
  <c r="N325" i="4"/>
  <c r="U331" i="4"/>
  <c r="W331" i="4" s="1"/>
  <c r="AC369" i="4"/>
  <c r="AE369" i="4" s="1"/>
  <c r="AF369" i="4" s="1"/>
  <c r="U369" i="4"/>
  <c r="W369" i="4" s="1"/>
  <c r="N120" i="4"/>
  <c r="N135" i="4"/>
  <c r="P135" i="4" s="1"/>
  <c r="N143" i="4"/>
  <c r="AE144" i="4"/>
  <c r="AF144" i="4" s="1"/>
  <c r="AE145" i="4"/>
  <c r="AF145" i="4" s="1"/>
  <c r="AC149" i="4"/>
  <c r="AE149" i="4" s="1"/>
  <c r="AF149" i="4" s="1"/>
  <c r="AH154" i="4"/>
  <c r="N157" i="4"/>
  <c r="M162" i="4"/>
  <c r="N173" i="4"/>
  <c r="AI189" i="4"/>
  <c r="AC199" i="4"/>
  <c r="AE199" i="4" s="1"/>
  <c r="AF199" i="4" s="1"/>
  <c r="U204" i="4"/>
  <c r="X204" i="4" s="1"/>
  <c r="M231" i="4"/>
  <c r="M236" i="4"/>
  <c r="U239" i="4"/>
  <c r="W239" i="4" s="1"/>
  <c r="AH241" i="4"/>
  <c r="M252" i="4"/>
  <c r="N263" i="4"/>
  <c r="P263" i="4" s="1"/>
  <c r="M263" i="4"/>
  <c r="U271" i="4"/>
  <c r="W271" i="4" s="1"/>
  <c r="AC271" i="4"/>
  <c r="AE271" i="4" s="1"/>
  <c r="AF271" i="4" s="1"/>
  <c r="U276" i="4"/>
  <c r="X276" i="4" s="1"/>
  <c r="AH278" i="4"/>
  <c r="M286" i="4"/>
  <c r="T293" i="4"/>
  <c r="U293" i="4" s="1"/>
  <c r="X293" i="4" s="1"/>
  <c r="AC303" i="4"/>
  <c r="AE303" i="4" s="1"/>
  <c r="AF303" i="4" s="1"/>
  <c r="U303" i="4"/>
  <c r="V303" i="4" s="1"/>
  <c r="AI306" i="4"/>
  <c r="AH306" i="4"/>
  <c r="N316" i="4"/>
  <c r="P316" i="4" s="1"/>
  <c r="M328" i="4"/>
  <c r="T374" i="4"/>
  <c r="AC374" i="4" s="1"/>
  <c r="AE374" i="4" s="1"/>
  <c r="AF374" i="4" s="1"/>
  <c r="I374" i="4"/>
  <c r="N374" i="4" s="1"/>
  <c r="AH274" i="4"/>
  <c r="M276" i="4"/>
  <c r="N276" i="4"/>
  <c r="P276" i="4" s="1"/>
  <c r="AH286" i="4"/>
  <c r="AI286" i="4"/>
  <c r="AE334" i="4"/>
  <c r="AF334" i="4" s="1"/>
  <c r="AD334" i="4"/>
  <c r="T362" i="4"/>
  <c r="U362" i="4" s="1"/>
  <c r="M362" i="4"/>
  <c r="X362" i="4" s="1"/>
  <c r="I362" i="4"/>
  <c r="T364" i="4"/>
  <c r="AH364" i="4" s="1"/>
  <c r="M364" i="4"/>
  <c r="X364" i="4" s="1"/>
  <c r="I364" i="4"/>
  <c r="T366" i="4"/>
  <c r="AH366" i="4" s="1"/>
  <c r="M366" i="4"/>
  <c r="X366" i="4" s="1"/>
  <c r="I366" i="4"/>
  <c r="U235" i="4"/>
  <c r="X235" i="4" s="1"/>
  <c r="AI243" i="4"/>
  <c r="AH243" i="4"/>
  <c r="AD253" i="4"/>
  <c r="U267" i="4"/>
  <c r="W267" i="4" s="1"/>
  <c r="AH276" i="4"/>
  <c r="AI276" i="4"/>
  <c r="N328" i="4"/>
  <c r="T339" i="4"/>
  <c r="N343" i="4"/>
  <c r="P343" i="4" s="1"/>
  <c r="AI343" i="4"/>
  <c r="AH343" i="4"/>
  <c r="AC345" i="4"/>
  <c r="AE345" i="4" s="1"/>
  <c r="AF345" i="4" s="1"/>
  <c r="U345" i="4"/>
  <c r="X345" i="4" s="1"/>
  <c r="T379" i="4"/>
  <c r="U379" i="4" s="1"/>
  <c r="X379" i="4" s="1"/>
  <c r="I379" i="4"/>
  <c r="AH264" i="4"/>
  <c r="M284" i="4"/>
  <c r="M301" i="4"/>
  <c r="AH322" i="4"/>
  <c r="M340" i="4"/>
  <c r="M346" i="4"/>
  <c r="M351" i="4"/>
  <c r="M395" i="4"/>
  <c r="X395" i="4" s="1"/>
  <c r="M402" i="4"/>
  <c r="X402" i="4" s="1"/>
  <c r="N241" i="4"/>
  <c r="O241" i="4" s="1"/>
  <c r="AH244" i="4"/>
  <c r="U245" i="4"/>
  <c r="X245" i="4" s="1"/>
  <c r="U256" i="4"/>
  <c r="X256" i="4" s="1"/>
  <c r="N279" i="4"/>
  <c r="AH295" i="4"/>
  <c r="M300" i="4"/>
  <c r="N306" i="4"/>
  <c r="O306" i="4" s="1"/>
  <c r="N310" i="4"/>
  <c r="O310" i="4" s="1"/>
  <c r="M320" i="4"/>
  <c r="N321" i="4"/>
  <c r="P321" i="4" s="1"/>
  <c r="AH330" i="4"/>
  <c r="N337" i="4"/>
  <c r="P337" i="4" s="1"/>
  <c r="N340" i="4"/>
  <c r="M349" i="4"/>
  <c r="AH360" i="4"/>
  <c r="I368" i="4"/>
  <c r="M368" i="4" s="1"/>
  <c r="M375" i="4"/>
  <c r="N383" i="4"/>
  <c r="P383" i="4" s="1"/>
  <c r="M398" i="4"/>
  <c r="X398" i="4" s="1"/>
  <c r="T402" i="4"/>
  <c r="AH402" i="4" s="1"/>
  <c r="N352" i="4"/>
  <c r="AC238" i="4"/>
  <c r="AE238" i="4" s="1"/>
  <c r="AF238" i="4" s="1"/>
  <c r="M248" i="4"/>
  <c r="N253" i="4"/>
  <c r="P253" i="4" s="1"/>
  <c r="AI264" i="4"/>
  <c r="N267" i="4"/>
  <c r="P267" i="4" s="1"/>
  <c r="N275" i="4"/>
  <c r="O275" i="4" s="1"/>
  <c r="N280" i="4"/>
  <c r="P280" i="4" s="1"/>
  <c r="N290" i="4"/>
  <c r="O290" i="4" s="1"/>
  <c r="AI295" i="4"/>
  <c r="M303" i="4"/>
  <c r="N311" i="4"/>
  <c r="P311" i="4" s="1"/>
  <c r="AH319" i="4"/>
  <c r="M341" i="4"/>
  <c r="N345" i="4"/>
  <c r="P345" i="4" s="1"/>
  <c r="T375" i="4"/>
  <c r="U375" i="4" s="1"/>
  <c r="N391" i="4"/>
  <c r="P391" i="4" s="1"/>
  <c r="AC393" i="4"/>
  <c r="U292" i="4"/>
  <c r="X292" i="4" s="1"/>
  <c r="M356" i="4"/>
  <c r="X356" i="4" s="1"/>
  <c r="AD393" i="4"/>
  <c r="G5" i="5"/>
  <c r="M5" i="5" s="1"/>
  <c r="G3" i="5"/>
  <c r="M3" i="5" s="1"/>
  <c r="G7" i="5"/>
  <c r="M7" i="5" s="1"/>
  <c r="G9" i="5"/>
  <c r="M9" i="5" s="1"/>
  <c r="G8" i="5"/>
  <c r="M8" i="5" s="1"/>
  <c r="G6" i="5"/>
  <c r="M6" i="5" s="1"/>
  <c r="G11" i="5"/>
  <c r="M11" i="5" s="1"/>
  <c r="U22" i="4"/>
  <c r="X22" i="4" s="1"/>
  <c r="AC22" i="4"/>
  <c r="AE22" i="4" s="1"/>
  <c r="AF22" i="4" s="1"/>
  <c r="AH17" i="4"/>
  <c r="U17" i="4"/>
  <c r="AC17" i="4"/>
  <c r="U8" i="4"/>
  <c r="AC8" i="4"/>
  <c r="AE8" i="4" s="1"/>
  <c r="AF8" i="4" s="1"/>
  <c r="AH8" i="4"/>
  <c r="AH22" i="4"/>
  <c r="AH25" i="4"/>
  <c r="U25" i="4"/>
  <c r="AC25" i="4"/>
  <c r="AC29" i="4"/>
  <c r="AE29" i="4" s="1"/>
  <c r="AF29" i="4" s="1"/>
  <c r="U29" i="4"/>
  <c r="X29" i="4" s="1"/>
  <c r="AC6" i="4"/>
  <c r="AE6" i="4" s="1"/>
  <c r="AF6" i="4" s="1"/>
  <c r="U6" i="4"/>
  <c r="X6" i="4" s="1"/>
  <c r="U16" i="4"/>
  <c r="AC16" i="4"/>
  <c r="AH16" i="4"/>
  <c r="AC5" i="4"/>
  <c r="U5" i="4"/>
  <c r="X5" i="4" s="1"/>
  <c r="AH6" i="4"/>
  <c r="U14" i="4"/>
  <c r="X14" i="4" s="1"/>
  <c r="AC14" i="4"/>
  <c r="AE14" i="4" s="1"/>
  <c r="AF14" i="4" s="1"/>
  <c r="U24" i="4"/>
  <c r="AC24" i="4"/>
  <c r="AE24" i="4" s="1"/>
  <c r="AF24" i="4" s="1"/>
  <c r="AH24" i="4"/>
  <c r="U31" i="4"/>
  <c r="AC31" i="4"/>
  <c r="AE31" i="4" s="1"/>
  <c r="AF31" i="4" s="1"/>
  <c r="AC34" i="4"/>
  <c r="AE34" i="4" s="1"/>
  <c r="AF34" i="4" s="1"/>
  <c r="AH34" i="4"/>
  <c r="U34" i="4"/>
  <c r="X34" i="4" s="1"/>
  <c r="AC33" i="4"/>
  <c r="AE33" i="4" s="1"/>
  <c r="AF33" i="4" s="1"/>
  <c r="U33" i="4"/>
  <c r="X33" i="4" s="1"/>
  <c r="AH9" i="4"/>
  <c r="U9" i="4"/>
  <c r="AC9" i="4"/>
  <c r="AE9" i="4" s="1"/>
  <c r="AF9" i="4" s="1"/>
  <c r="M6" i="4"/>
  <c r="N9" i="4"/>
  <c r="T10" i="4"/>
  <c r="U13" i="4"/>
  <c r="X13" i="4" s="1"/>
  <c r="M14" i="4"/>
  <c r="AE16" i="4"/>
  <c r="AF16" i="4" s="1"/>
  <c r="N17" i="4"/>
  <c r="T18" i="4"/>
  <c r="U21" i="4"/>
  <c r="M22" i="4"/>
  <c r="N25" i="4"/>
  <c r="T26" i="4"/>
  <c r="M30" i="4"/>
  <c r="AH31" i="4"/>
  <c r="AD35" i="4"/>
  <c r="AC36" i="4"/>
  <c r="AE36" i="4" s="1"/>
  <c r="AF36" i="4" s="1"/>
  <c r="N37" i="4"/>
  <c r="N39" i="4"/>
  <c r="AH42" i="4"/>
  <c r="N48" i="4"/>
  <c r="AI55" i="4"/>
  <c r="T61" i="4"/>
  <c r="AH61" i="4" s="1"/>
  <c r="N66" i="4"/>
  <c r="M66" i="4"/>
  <c r="T69" i="4"/>
  <c r="AH69" i="4" s="1"/>
  <c r="N72" i="4"/>
  <c r="M72" i="4"/>
  <c r="AI75" i="4"/>
  <c r="N75" i="4"/>
  <c r="AH75" i="4"/>
  <c r="M75" i="4"/>
  <c r="N105" i="4"/>
  <c r="M105" i="4"/>
  <c r="AI119" i="4"/>
  <c r="M119" i="4"/>
  <c r="AC133" i="4"/>
  <c r="AE133" i="4" s="1"/>
  <c r="AF133" i="4" s="1"/>
  <c r="U133" i="4"/>
  <c r="X133" i="4" s="1"/>
  <c r="H1" i="4"/>
  <c r="AH3" i="4"/>
  <c r="T7" i="4"/>
  <c r="AH11" i="4"/>
  <c r="T15" i="4"/>
  <c r="AH19" i="4"/>
  <c r="T23" i="4"/>
  <c r="AH27" i="4"/>
  <c r="N31" i="4"/>
  <c r="U32" i="4"/>
  <c r="AC32" i="4"/>
  <c r="AE32" i="4" s="1"/>
  <c r="AF32" i="4" s="1"/>
  <c r="N44" i="4"/>
  <c r="M44" i="4"/>
  <c r="AI91" i="4"/>
  <c r="AH91" i="4"/>
  <c r="N91" i="4"/>
  <c r="M91" i="4"/>
  <c r="T94" i="4"/>
  <c r="N103" i="4"/>
  <c r="M103" i="4"/>
  <c r="U110" i="4"/>
  <c r="AH110" i="4"/>
  <c r="AC110" i="4"/>
  <c r="AE110" i="4" s="1"/>
  <c r="AF110" i="4" s="1"/>
  <c r="AC28" i="4"/>
  <c r="AI44" i="4"/>
  <c r="AD57" i="4"/>
  <c r="AI61" i="4"/>
  <c r="N61" i="4"/>
  <c r="M61" i="4"/>
  <c r="AI67" i="4"/>
  <c r="N67" i="4"/>
  <c r="AH67" i="4"/>
  <c r="M67" i="4"/>
  <c r="AH74" i="4"/>
  <c r="U74" i="4"/>
  <c r="AC98" i="4"/>
  <c r="U98" i="4"/>
  <c r="X98" i="4" s="1"/>
  <c r="AI100" i="4"/>
  <c r="AH100" i="4"/>
  <c r="M100" i="4"/>
  <c r="AI101" i="4"/>
  <c r="AH101" i="4"/>
  <c r="U101" i="4"/>
  <c r="X101" i="4" s="1"/>
  <c r="M101" i="4"/>
  <c r="U118" i="4"/>
  <c r="AH118" i="4"/>
  <c r="AC118" i="4"/>
  <c r="AE118" i="4" s="1"/>
  <c r="AF118" i="4" s="1"/>
  <c r="AC20" i="4"/>
  <c r="U4" i="4"/>
  <c r="X4" i="4" s="1"/>
  <c r="AD4" i="4"/>
  <c r="M5" i="4"/>
  <c r="AH5" i="4"/>
  <c r="U12" i="4"/>
  <c r="X12" i="4" s="1"/>
  <c r="AD12" i="4"/>
  <c r="M13" i="4"/>
  <c r="AH13" i="4"/>
  <c r="AD20" i="4"/>
  <c r="M21" i="4"/>
  <c r="AH21" i="4"/>
  <c r="AD28" i="4"/>
  <c r="M29" i="4"/>
  <c r="AH29" i="4"/>
  <c r="M31" i="4"/>
  <c r="U35" i="4"/>
  <c r="AC38" i="4"/>
  <c r="AD39" i="4"/>
  <c r="N41" i="4"/>
  <c r="M42" i="4"/>
  <c r="AD46" i="4"/>
  <c r="U47" i="4"/>
  <c r="X47" i="4" s="1"/>
  <c r="AH47" i="4"/>
  <c r="AH51" i="4"/>
  <c r="M51" i="4"/>
  <c r="AD51" i="4"/>
  <c r="U52" i="4"/>
  <c r="X52" i="4" s="1"/>
  <c r="T57" i="4"/>
  <c r="AH57" i="4" s="1"/>
  <c r="AD63" i="4"/>
  <c r="U67" i="4"/>
  <c r="AE79" i="4"/>
  <c r="AF79" i="4" s="1"/>
  <c r="AD79" i="4"/>
  <c r="T93" i="4"/>
  <c r="AH93" i="4" s="1"/>
  <c r="U96" i="4"/>
  <c r="AC96" i="4"/>
  <c r="AE96" i="4" s="1"/>
  <c r="AF96" i="4" s="1"/>
  <c r="U100" i="4"/>
  <c r="AD105" i="4"/>
  <c r="AE105" i="4"/>
  <c r="AF105" i="4" s="1"/>
  <c r="M10" i="4"/>
  <c r="AD17" i="4"/>
  <c r="M18" i="4"/>
  <c r="AD25" i="4"/>
  <c r="M26" i="4"/>
  <c r="T30" i="4"/>
  <c r="AH30" i="4" s="1"/>
  <c r="AD30" i="4"/>
  <c r="M32" i="4"/>
  <c r="AH33" i="4"/>
  <c r="AH37" i="4"/>
  <c r="AD38" i="4"/>
  <c r="AC42" i="4"/>
  <c r="AE42" i="4" s="1"/>
  <c r="AF42" i="4" s="1"/>
  <c r="AH43" i="4"/>
  <c r="M43" i="4"/>
  <c r="AD43" i="4"/>
  <c r="T44" i="4"/>
  <c r="AH44" i="4" s="1"/>
  <c r="U45" i="4"/>
  <c r="AH46" i="4"/>
  <c r="U48" i="4"/>
  <c r="AC48" i="4"/>
  <c r="AE48" i="4" s="1"/>
  <c r="AF48" i="4" s="1"/>
  <c r="M50" i="4"/>
  <c r="AC74" i="4"/>
  <c r="AE74" i="4" s="1"/>
  <c r="AF74" i="4" s="1"/>
  <c r="T83" i="4"/>
  <c r="U95" i="4"/>
  <c r="U124" i="4"/>
  <c r="X124" i="4" s="1"/>
  <c r="AC124" i="4"/>
  <c r="AE124" i="4" s="1"/>
  <c r="AF124" i="4" s="1"/>
  <c r="AC11" i="4"/>
  <c r="AE11" i="4" s="1"/>
  <c r="AF11" i="4" s="1"/>
  <c r="AC19" i="4"/>
  <c r="AC27" i="4"/>
  <c r="AE27" i="4" s="1"/>
  <c r="AF27" i="4" s="1"/>
  <c r="AH38" i="4"/>
  <c r="N58" i="4"/>
  <c r="M58" i="4"/>
  <c r="T63" i="4"/>
  <c r="AH63" i="4" s="1"/>
  <c r="AE65" i="4"/>
  <c r="AF65" i="4" s="1"/>
  <c r="AD65" i="4"/>
  <c r="AC66" i="4"/>
  <c r="AE66" i="4" s="1"/>
  <c r="AF66" i="4" s="1"/>
  <c r="T77" i="4"/>
  <c r="AH77" i="4" s="1"/>
  <c r="N80" i="4"/>
  <c r="M80" i="4"/>
  <c r="U81" i="4"/>
  <c r="X81" i="4" s="1"/>
  <c r="AC81" i="4"/>
  <c r="AD89" i="4"/>
  <c r="T111" i="4"/>
  <c r="AH111" i="4" s="1"/>
  <c r="AE113" i="4"/>
  <c r="AF113" i="4" s="1"/>
  <c r="AD113" i="4"/>
  <c r="U3" i="4"/>
  <c r="AH4" i="4"/>
  <c r="AH12" i="4"/>
  <c r="AH20" i="4"/>
  <c r="AH28" i="4"/>
  <c r="N36" i="4"/>
  <c r="M36" i="4"/>
  <c r="AH39" i="4"/>
  <c r="AH40" i="4"/>
  <c r="T41" i="4"/>
  <c r="AH41" i="4" s="1"/>
  <c r="AC47" i="4"/>
  <c r="N49" i="4"/>
  <c r="AD49" i="4"/>
  <c r="U50" i="4"/>
  <c r="N53" i="4"/>
  <c r="AH53" i="4"/>
  <c r="T55" i="4"/>
  <c r="AH55" i="4" s="1"/>
  <c r="AC60" i="4"/>
  <c r="AE60" i="4" s="1"/>
  <c r="AF60" i="4" s="1"/>
  <c r="AE71" i="4"/>
  <c r="AF71" i="4" s="1"/>
  <c r="AD71" i="4"/>
  <c r="M82" i="4"/>
  <c r="N82" i="4"/>
  <c r="AC84" i="4"/>
  <c r="U84" i="4"/>
  <c r="X84" i="4" s="1"/>
  <c r="AC87" i="4"/>
  <c r="AE87" i="4" s="1"/>
  <c r="AF87" i="4" s="1"/>
  <c r="AH87" i="4"/>
  <c r="U87" i="4"/>
  <c r="T92" i="4"/>
  <c r="AH92" i="4" s="1"/>
  <c r="AH95" i="4"/>
  <c r="AC117" i="4"/>
  <c r="AE117" i="4" s="1"/>
  <c r="AF117" i="4" s="1"/>
  <c r="U117" i="4"/>
  <c r="X117" i="4" s="1"/>
  <c r="N4" i="4"/>
  <c r="N12" i="4"/>
  <c r="N20" i="4"/>
  <c r="N28" i="4"/>
  <c r="AI36" i="4"/>
  <c r="AH36" i="4"/>
  <c r="U40" i="4"/>
  <c r="AC40" i="4"/>
  <c r="AE40" i="4" s="1"/>
  <c r="AF40" i="4" s="1"/>
  <c r="AI43" i="4"/>
  <c r="N47" i="4"/>
  <c r="N52" i="4"/>
  <c r="M52" i="4"/>
  <c r="U53" i="4"/>
  <c r="X53" i="4" s="1"/>
  <c r="N55" i="4"/>
  <c r="U56" i="4"/>
  <c r="AC56" i="4"/>
  <c r="AE56" i="4" s="1"/>
  <c r="AF56" i="4" s="1"/>
  <c r="AH59" i="4"/>
  <c r="M59" i="4"/>
  <c r="M64" i="4"/>
  <c r="T71" i="4"/>
  <c r="AH71" i="4" s="1"/>
  <c r="T79" i="4"/>
  <c r="AH79" i="4" s="1"/>
  <c r="AH82" i="4"/>
  <c r="AI83" i="4"/>
  <c r="AH84" i="4"/>
  <c r="AH85" i="4"/>
  <c r="U86" i="4"/>
  <c r="X86" i="4" s="1"/>
  <c r="AH86" i="4"/>
  <c r="AC89" i="4"/>
  <c r="AC90" i="4"/>
  <c r="AE90" i="4" s="1"/>
  <c r="AF90" i="4" s="1"/>
  <c r="N92" i="4"/>
  <c r="N93" i="4"/>
  <c r="U97" i="4"/>
  <c r="X97" i="4" s="1"/>
  <c r="AC99" i="4"/>
  <c r="AE99" i="4" s="1"/>
  <c r="AF99" i="4" s="1"/>
  <c r="AI105" i="4"/>
  <c r="AH105" i="4"/>
  <c r="AC105" i="4"/>
  <c r="T107" i="4"/>
  <c r="N111" i="4"/>
  <c r="U112" i="4"/>
  <c r="AC112" i="4"/>
  <c r="AE112" i="4" s="1"/>
  <c r="AF112" i="4" s="1"/>
  <c r="AH112" i="4"/>
  <c r="N116" i="4"/>
  <c r="M116" i="4"/>
  <c r="M117" i="4"/>
  <c r="M133" i="4"/>
  <c r="AC68" i="4"/>
  <c r="AC76" i="4"/>
  <c r="AE76" i="4" s="1"/>
  <c r="AF76" i="4" s="1"/>
  <c r="AD104" i="4"/>
  <c r="AI111" i="4"/>
  <c r="M111" i="4"/>
  <c r="T113" i="4"/>
  <c r="AH117" i="4"/>
  <c r="N133" i="4"/>
  <c r="AI133" i="4"/>
  <c r="N136" i="4"/>
  <c r="M136" i="4"/>
  <c r="AE142" i="4"/>
  <c r="AF142" i="4" s="1"/>
  <c r="AD142" i="4"/>
  <c r="T65" i="4"/>
  <c r="M69" i="4"/>
  <c r="T73" i="4"/>
  <c r="M77" i="4"/>
  <c r="AC82" i="4"/>
  <c r="AE82" i="4" s="1"/>
  <c r="AF82" i="4" s="1"/>
  <c r="M83" i="4"/>
  <c r="N84" i="4"/>
  <c r="N85" i="4"/>
  <c r="AH88" i="4"/>
  <c r="AC91" i="4"/>
  <c r="AE91" i="4" s="1"/>
  <c r="AF91" i="4" s="1"/>
  <c r="M92" i="4"/>
  <c r="M93" i="4"/>
  <c r="U99" i="4"/>
  <c r="X99" i="4" s="1"/>
  <c r="AD102" i="4"/>
  <c r="M104" i="4"/>
  <c r="AC104" i="4"/>
  <c r="N117" i="4"/>
  <c r="AD123" i="4"/>
  <c r="T127" i="4"/>
  <c r="U128" i="4"/>
  <c r="AC128" i="4"/>
  <c r="AE128" i="4" s="1"/>
  <c r="AF128" i="4" s="1"/>
  <c r="AH128" i="4"/>
  <c r="AD129" i="4"/>
  <c r="AH58" i="4"/>
  <c r="AC62" i="4"/>
  <c r="AH66" i="4"/>
  <c r="N69" i="4"/>
  <c r="AC70" i="4"/>
  <c r="AD73" i="4"/>
  <c r="M74" i="4"/>
  <c r="N77" i="4"/>
  <c r="AC78" i="4"/>
  <c r="M95" i="4"/>
  <c r="N104" i="4"/>
  <c r="T106" i="4"/>
  <c r="AD108" i="4"/>
  <c r="T129" i="4"/>
  <c r="AC51" i="4"/>
  <c r="AD54" i="4"/>
  <c r="M55" i="4"/>
  <c r="AC59" i="4"/>
  <c r="AD62" i="4"/>
  <c r="M63" i="4"/>
  <c r="AC67" i="4"/>
  <c r="AD70" i="4"/>
  <c r="M71" i="4"/>
  <c r="AC75" i="4"/>
  <c r="AD78" i="4"/>
  <c r="M79" i="4"/>
  <c r="M84" i="4"/>
  <c r="M85" i="4"/>
  <c r="M86" i="4"/>
  <c r="AD92" i="4"/>
  <c r="AD94" i="4"/>
  <c r="M96" i="4"/>
  <c r="AH98" i="4"/>
  <c r="AH104" i="4"/>
  <c r="AI108" i="4"/>
  <c r="M108" i="4"/>
  <c r="AC125" i="4"/>
  <c r="AE125" i="4" s="1"/>
  <c r="AF125" i="4" s="1"/>
  <c r="U125" i="4"/>
  <c r="U126" i="4"/>
  <c r="AH126" i="4"/>
  <c r="AI127" i="4"/>
  <c r="M127" i="4"/>
  <c r="AH52" i="4"/>
  <c r="AD59" i="4"/>
  <c r="M60" i="4"/>
  <c r="AH60" i="4"/>
  <c r="AD67" i="4"/>
  <c r="M68" i="4"/>
  <c r="AH68" i="4"/>
  <c r="AC72" i="4"/>
  <c r="AE72" i="4" s="1"/>
  <c r="AF72" i="4" s="1"/>
  <c r="AD75" i="4"/>
  <c r="M76" i="4"/>
  <c r="AH76" i="4"/>
  <c r="AC80" i="4"/>
  <c r="AE80" i="4" s="1"/>
  <c r="AF80" i="4" s="1"/>
  <c r="AH81" i="4"/>
  <c r="AI81" i="4"/>
  <c r="AD85" i="4"/>
  <c r="M87" i="4"/>
  <c r="AD95" i="4"/>
  <c r="N97" i="4"/>
  <c r="N98" i="4"/>
  <c r="AC101" i="4"/>
  <c r="AE101" i="4" s="1"/>
  <c r="AF101" i="4" s="1"/>
  <c r="AC102" i="4"/>
  <c r="U103" i="4"/>
  <c r="U104" i="4"/>
  <c r="M114" i="4"/>
  <c r="AD115" i="4"/>
  <c r="AC116" i="4"/>
  <c r="AE116" i="4" s="1"/>
  <c r="AF116" i="4" s="1"/>
  <c r="T119" i="4"/>
  <c r="U120" i="4"/>
  <c r="AC120" i="4"/>
  <c r="AE120" i="4" s="1"/>
  <c r="AF120" i="4" s="1"/>
  <c r="AH120" i="4"/>
  <c r="AD121" i="4"/>
  <c r="N124" i="4"/>
  <c r="M124" i="4"/>
  <c r="M125" i="4"/>
  <c r="AH133" i="4"/>
  <c r="AI82" i="4"/>
  <c r="AD84" i="4"/>
  <c r="AH89" i="4"/>
  <c r="AH90" i="4"/>
  <c r="AC97" i="4"/>
  <c r="AE97" i="4" s="1"/>
  <c r="AF97" i="4" s="1"/>
  <c r="N100" i="4"/>
  <c r="N101" i="4"/>
  <c r="N106" i="4"/>
  <c r="T108" i="4"/>
  <c r="AH108" i="4" s="1"/>
  <c r="Q109" i="4"/>
  <c r="N109" i="4"/>
  <c r="N119" i="4"/>
  <c r="T121" i="4"/>
  <c r="AH125" i="4"/>
  <c r="AC114" i="4"/>
  <c r="AC122" i="4"/>
  <c r="AE122" i="4" s="1"/>
  <c r="AF122" i="4" s="1"/>
  <c r="AC130" i="4"/>
  <c r="AE130" i="4" s="1"/>
  <c r="AF130" i="4" s="1"/>
  <c r="AI140" i="4"/>
  <c r="AH140" i="4"/>
  <c r="AI156" i="4"/>
  <c r="U168" i="4"/>
  <c r="AC168" i="4"/>
  <c r="AD176" i="4"/>
  <c r="AI180" i="4"/>
  <c r="N180" i="4"/>
  <c r="T182" i="4"/>
  <c r="U191" i="4"/>
  <c r="X191" i="4" s="1"/>
  <c r="AC191" i="4"/>
  <c r="AE191" i="4" s="1"/>
  <c r="AF191" i="4" s="1"/>
  <c r="AI205" i="4"/>
  <c r="AH205" i="4"/>
  <c r="M115" i="4"/>
  <c r="M123" i="4"/>
  <c r="M131" i="4"/>
  <c r="U138" i="4"/>
  <c r="AD139" i="4"/>
  <c r="AC140" i="4"/>
  <c r="N141" i="4"/>
  <c r="M149" i="4"/>
  <c r="N152" i="4"/>
  <c r="M154" i="4"/>
  <c r="AI162" i="4"/>
  <c r="N169" i="4"/>
  <c r="M169" i="4"/>
  <c r="U187" i="4"/>
  <c r="AC187" i="4"/>
  <c r="AE187" i="4" s="1"/>
  <c r="AF187" i="4" s="1"/>
  <c r="AI202" i="4"/>
  <c r="U160" i="4"/>
  <c r="AC160" i="4"/>
  <c r="AE160" i="4" s="1"/>
  <c r="AF160" i="4" s="1"/>
  <c r="T164" i="4"/>
  <c r="AH164" i="4" s="1"/>
  <c r="U165" i="4"/>
  <c r="AC165" i="4"/>
  <c r="AE165" i="4" s="1"/>
  <c r="AF165" i="4" s="1"/>
  <c r="U176" i="4"/>
  <c r="AC176" i="4"/>
  <c r="AD184" i="4"/>
  <c r="N201" i="4"/>
  <c r="M201" i="4"/>
  <c r="T210" i="4"/>
  <c r="AH210" i="4" s="1"/>
  <c r="T134" i="4"/>
  <c r="U141" i="4"/>
  <c r="X141" i="4" s="1"/>
  <c r="M146" i="4"/>
  <c r="AI148" i="4"/>
  <c r="U149" i="4"/>
  <c r="X149" i="4" s="1"/>
  <c r="U150" i="4"/>
  <c r="U152" i="4"/>
  <c r="N154" i="4"/>
  <c r="AI154" i="4"/>
  <c r="N164" i="4"/>
  <c r="AH165" i="4"/>
  <c r="AH169" i="4"/>
  <c r="U169" i="4"/>
  <c r="AI170" i="4"/>
  <c r="AC171" i="4"/>
  <c r="M175" i="4"/>
  <c r="N177" i="4"/>
  <c r="M177" i="4"/>
  <c r="T188" i="4"/>
  <c r="AD188" i="4"/>
  <c r="M194" i="4"/>
  <c r="AC196" i="4"/>
  <c r="AD197" i="4"/>
  <c r="AH221" i="4"/>
  <c r="U221" i="4"/>
  <c r="AC221" i="4"/>
  <c r="AE221" i="4" s="1"/>
  <c r="AF221" i="4" s="1"/>
  <c r="AH139" i="4"/>
  <c r="AD148" i="4"/>
  <c r="U154" i="4"/>
  <c r="X154" i="4" s="1"/>
  <c r="AH160" i="4"/>
  <c r="AI164" i="4"/>
  <c r="T166" i="4"/>
  <c r="T172" i="4"/>
  <c r="AH172" i="4" s="1"/>
  <c r="U173" i="4"/>
  <c r="AC173" i="4"/>
  <c r="AE173" i="4" s="1"/>
  <c r="AF173" i="4" s="1"/>
  <c r="AH176" i="4"/>
  <c r="U184" i="4"/>
  <c r="AC184" i="4"/>
  <c r="U194" i="4"/>
  <c r="AH194" i="4"/>
  <c r="AC115" i="4"/>
  <c r="AC123" i="4"/>
  <c r="AC131" i="4"/>
  <c r="AH137" i="4"/>
  <c r="AH141" i="4"/>
  <c r="N146" i="4"/>
  <c r="AH153" i="4"/>
  <c r="AC153" i="4"/>
  <c r="AE153" i="4" s="1"/>
  <c r="AF153" i="4" s="1"/>
  <c r="U157" i="4"/>
  <c r="X157" i="4" s="1"/>
  <c r="AH173" i="4"/>
  <c r="AH177" i="4"/>
  <c r="U177" i="4"/>
  <c r="AI178" i="4"/>
  <c r="AC179" i="4"/>
  <c r="AE179" i="4" s="1"/>
  <c r="AF179" i="4" s="1"/>
  <c r="N185" i="4"/>
  <c r="M185" i="4"/>
  <c r="N194" i="4"/>
  <c r="N195" i="4"/>
  <c r="M195" i="4"/>
  <c r="U200" i="4"/>
  <c r="AC200" i="4"/>
  <c r="AH200" i="4"/>
  <c r="AH116" i="4"/>
  <c r="AH124" i="4"/>
  <c r="AD131" i="4"/>
  <c r="M132" i="4"/>
  <c r="N137" i="4"/>
  <c r="M138" i="4"/>
  <c r="AH145" i="4"/>
  <c r="T146" i="4"/>
  <c r="T148" i="4"/>
  <c r="N153" i="4"/>
  <c r="AI155" i="4"/>
  <c r="N155" i="4"/>
  <c r="AH155" i="4"/>
  <c r="M155" i="4"/>
  <c r="T156" i="4"/>
  <c r="AH161" i="4"/>
  <c r="AD168" i="4"/>
  <c r="AC169" i="4"/>
  <c r="AE169" i="4" s="1"/>
  <c r="AF169" i="4" s="1"/>
  <c r="AI172" i="4"/>
  <c r="T174" i="4"/>
  <c r="AD174" i="4"/>
  <c r="N178" i="4"/>
  <c r="T180" i="4"/>
  <c r="AH180" i="4" s="1"/>
  <c r="U181" i="4"/>
  <c r="AC181" i="4"/>
  <c r="AE181" i="4" s="1"/>
  <c r="AF181" i="4" s="1"/>
  <c r="AH184" i="4"/>
  <c r="M186" i="4"/>
  <c r="U192" i="4"/>
  <c r="AC192" i="4"/>
  <c r="AE192" i="4" s="1"/>
  <c r="AF192" i="4" s="1"/>
  <c r="AH199" i="4"/>
  <c r="AD201" i="4"/>
  <c r="N140" i="4"/>
  <c r="M140" i="4"/>
  <c r="AC142" i="4"/>
  <c r="N145" i="4"/>
  <c r="AC145" i="4"/>
  <c r="AH147" i="4"/>
  <c r="N149" i="4"/>
  <c r="M152" i="4"/>
  <c r="N156" i="4"/>
  <c r="N161" i="4"/>
  <c r="M180" i="4"/>
  <c r="AH185" i="4"/>
  <c r="U185" i="4"/>
  <c r="AI186" i="4"/>
  <c r="AH193" i="4"/>
  <c r="U193" i="4"/>
  <c r="AC193" i="4"/>
  <c r="U195" i="4"/>
  <c r="X195" i="4" s="1"/>
  <c r="AC195" i="4"/>
  <c r="AE195" i="4" s="1"/>
  <c r="AF195" i="4" s="1"/>
  <c r="AC159" i="4"/>
  <c r="AE159" i="4" s="1"/>
  <c r="AF159" i="4" s="1"/>
  <c r="U162" i="4"/>
  <c r="M163" i="4"/>
  <c r="AH163" i="4"/>
  <c r="AC167" i="4"/>
  <c r="AE167" i="4" s="1"/>
  <c r="AF167" i="4" s="1"/>
  <c r="U170" i="4"/>
  <c r="M171" i="4"/>
  <c r="AH171" i="4"/>
  <c r="AC175" i="4"/>
  <c r="AE175" i="4" s="1"/>
  <c r="AF175" i="4" s="1"/>
  <c r="U178" i="4"/>
  <c r="M179" i="4"/>
  <c r="AH179" i="4"/>
  <c r="AC183" i="4"/>
  <c r="AE183" i="4" s="1"/>
  <c r="AF183" i="4" s="1"/>
  <c r="U186" i="4"/>
  <c r="X186" i="4" s="1"/>
  <c r="AC189" i="4"/>
  <c r="AE189" i="4" s="1"/>
  <c r="AF189" i="4" s="1"/>
  <c r="N190" i="4"/>
  <c r="T202" i="4"/>
  <c r="AH202" i="4" s="1"/>
  <c r="T206" i="4"/>
  <c r="AH206" i="4" s="1"/>
  <c r="U207" i="4"/>
  <c r="AI213" i="4"/>
  <c r="AH213" i="4"/>
  <c r="AD219" i="4"/>
  <c r="AC219" i="4"/>
  <c r="N163" i="4"/>
  <c r="N171" i="4"/>
  <c r="N179" i="4"/>
  <c r="M187" i="4"/>
  <c r="M193" i="4"/>
  <c r="N198" i="4"/>
  <c r="M202" i="4"/>
  <c r="AI204" i="4"/>
  <c r="N204" i="4"/>
  <c r="AH204" i="4"/>
  <c r="M204" i="4"/>
  <c r="AI208" i="4"/>
  <c r="N208" i="4"/>
  <c r="AH208" i="4"/>
  <c r="AD209" i="4"/>
  <c r="U213" i="4"/>
  <c r="T215" i="4"/>
  <c r="T218" i="4"/>
  <c r="AD196" i="4"/>
  <c r="N202" i="4"/>
  <c r="N205" i="4"/>
  <c r="AC207" i="4"/>
  <c r="AE207" i="4" s="1"/>
  <c r="AF207" i="4" s="1"/>
  <c r="N210" i="4"/>
  <c r="M210" i="4"/>
  <c r="N220" i="4"/>
  <c r="N221" i="4"/>
  <c r="M221" i="4"/>
  <c r="AD212" i="4"/>
  <c r="AH220" i="4"/>
  <c r="AI220" i="4"/>
  <c r="AC136" i="4"/>
  <c r="AE136" i="4" s="1"/>
  <c r="AF136" i="4" s="1"/>
  <c r="AC144" i="4"/>
  <c r="AD147" i="4"/>
  <c r="M148" i="4"/>
  <c r="AC152" i="4"/>
  <c r="AE152" i="4" s="1"/>
  <c r="AF152" i="4" s="1"/>
  <c r="AD155" i="4"/>
  <c r="M156" i="4"/>
  <c r="AD163" i="4"/>
  <c r="M164" i="4"/>
  <c r="AD171" i="4"/>
  <c r="M172" i="4"/>
  <c r="AH196" i="4"/>
  <c r="U197" i="4"/>
  <c r="AH197" i="4"/>
  <c r="AI201" i="4"/>
  <c r="AH201" i="4"/>
  <c r="AC201" i="4"/>
  <c r="T203" i="4"/>
  <c r="M205" i="4"/>
  <c r="U220" i="4"/>
  <c r="X220" i="4" s="1"/>
  <c r="M190" i="4"/>
  <c r="AI190" i="4"/>
  <c r="T198" i="4"/>
  <c r="AH198" i="4" s="1"/>
  <c r="AD200" i="4"/>
  <c r="AC226" i="4"/>
  <c r="AE226" i="4" s="1"/>
  <c r="AF226" i="4" s="1"/>
  <c r="U226" i="4"/>
  <c r="X226" i="4" s="1"/>
  <c r="U205" i="4"/>
  <c r="N213" i="4"/>
  <c r="M213" i="4"/>
  <c r="AC209" i="4"/>
  <c r="AD224" i="4"/>
  <c r="N228" i="4"/>
  <c r="T232" i="4"/>
  <c r="AH232" i="4" s="1"/>
  <c r="AD232" i="4"/>
  <c r="U234" i="4"/>
  <c r="X234" i="4" s="1"/>
  <c r="N238" i="4"/>
  <c r="AH238" i="4"/>
  <c r="AI240" i="4"/>
  <c r="T249" i="4"/>
  <c r="AH249" i="4" s="1"/>
  <c r="T259" i="4"/>
  <c r="AH259" i="4" s="1"/>
  <c r="T214" i="4"/>
  <c r="AC216" i="4"/>
  <c r="AE216" i="4" s="1"/>
  <c r="AF216" i="4" s="1"/>
  <c r="U219" i="4"/>
  <c r="M224" i="4"/>
  <c r="N227" i="4"/>
  <c r="AI228" i="4"/>
  <c r="M230" i="4"/>
  <c r="N232" i="4"/>
  <c r="M232" i="4"/>
  <c r="M235" i="4"/>
  <c r="N237" i="4"/>
  <c r="M237" i="4"/>
  <c r="U238" i="4"/>
  <c r="AI238" i="4"/>
  <c r="AI244" i="4"/>
  <c r="N249" i="4"/>
  <c r="AH250" i="4"/>
  <c r="AC250" i="4"/>
  <c r="AE250" i="4" s="1"/>
  <c r="AF250" i="4" s="1"/>
  <c r="AC211" i="4"/>
  <c r="AE211" i="4" s="1"/>
  <c r="AF211" i="4" s="1"/>
  <c r="AH230" i="4"/>
  <c r="AI232" i="4"/>
  <c r="AH235" i="4"/>
  <c r="AC257" i="4"/>
  <c r="AE257" i="4" s="1"/>
  <c r="AF257" i="4" s="1"/>
  <c r="U257" i="4"/>
  <c r="X257" i="4" s="1"/>
  <c r="AC208" i="4"/>
  <c r="M212" i="4"/>
  <c r="AC223" i="4"/>
  <c r="AH224" i="4"/>
  <c r="M227" i="4"/>
  <c r="U228" i="4"/>
  <c r="X228" i="4" s="1"/>
  <c r="N229" i="4"/>
  <c r="M229" i="4"/>
  <c r="AC229" i="4"/>
  <c r="AE229" i="4" s="1"/>
  <c r="AF229" i="4" s="1"/>
  <c r="U230" i="4"/>
  <c r="X230" i="4" s="1"/>
  <c r="AD239" i="4"/>
  <c r="N245" i="4"/>
  <c r="M245" i="4"/>
  <c r="AC197" i="4"/>
  <c r="AC205" i="4"/>
  <c r="AD208" i="4"/>
  <c r="M209" i="4"/>
  <c r="AH209" i="4"/>
  <c r="AC213" i="4"/>
  <c r="AE213" i="4" s="1"/>
  <c r="AF213" i="4" s="1"/>
  <c r="M216" i="4"/>
  <c r="U217" i="4"/>
  <c r="AD222" i="4"/>
  <c r="AD223" i="4"/>
  <c r="U227" i="4"/>
  <c r="AH227" i="4"/>
  <c r="AH234" i="4"/>
  <c r="AD234" i="4"/>
  <c r="T237" i="4"/>
  <c r="AH237" i="4" s="1"/>
  <c r="AC239" i="4"/>
  <c r="M241" i="4"/>
  <c r="U254" i="4"/>
  <c r="X254" i="4" s="1"/>
  <c r="AC254" i="4"/>
  <c r="AE254" i="4" s="1"/>
  <c r="AF254" i="4" s="1"/>
  <c r="AI257" i="4"/>
  <c r="AH257" i="4"/>
  <c r="AD231" i="4"/>
  <c r="AE236" i="4"/>
  <c r="AF236" i="4" s="1"/>
  <c r="AD236" i="4"/>
  <c r="AH239" i="4"/>
  <c r="T242" i="4"/>
  <c r="AH242" i="4" s="1"/>
  <c r="M246" i="4"/>
  <c r="AC247" i="4"/>
  <c r="AE247" i="4" s="1"/>
  <c r="AF247" i="4" s="1"/>
  <c r="M220" i="4"/>
  <c r="U222" i="4"/>
  <c r="X222" i="4" s="1"/>
  <c r="AH222" i="4"/>
  <c r="AC224" i="4"/>
  <c r="AH226" i="4"/>
  <c r="T240" i="4"/>
  <c r="AH240" i="4" s="1"/>
  <c r="N274" i="4"/>
  <c r="M274" i="4"/>
  <c r="AD228" i="4"/>
  <c r="N240" i="4"/>
  <c r="M240" i="4"/>
  <c r="AD244" i="4"/>
  <c r="AC228" i="4"/>
  <c r="AC236" i="4"/>
  <c r="AC244" i="4"/>
  <c r="AC252" i="4"/>
  <c r="AE252" i="4" s="1"/>
  <c r="AF252" i="4" s="1"/>
  <c r="T262" i="4"/>
  <c r="AC272" i="4"/>
  <c r="AH272" i="4"/>
  <c r="U272" i="4"/>
  <c r="X272" i="4" s="1"/>
  <c r="AH277" i="4"/>
  <c r="AC225" i="4"/>
  <c r="AE225" i="4" s="1"/>
  <c r="AF225" i="4" s="1"/>
  <c r="AH229" i="4"/>
  <c r="AC241" i="4"/>
  <c r="AE241" i="4" s="1"/>
  <c r="AF241" i="4" s="1"/>
  <c r="AH245" i="4"/>
  <c r="AC248" i="4"/>
  <c r="AE248" i="4" s="1"/>
  <c r="AF248" i="4" s="1"/>
  <c r="M250" i="4"/>
  <c r="AH256" i="4"/>
  <c r="N262" i="4"/>
  <c r="M262" i="4"/>
  <c r="U266" i="4"/>
  <c r="AC267" i="4"/>
  <c r="AE267" i="4" s="1"/>
  <c r="AF267" i="4" s="1"/>
  <c r="T270" i="4"/>
  <c r="U313" i="4"/>
  <c r="X313" i="4" s="1"/>
  <c r="AC313" i="4"/>
  <c r="AE313" i="4" s="1"/>
  <c r="AF313" i="4" s="1"/>
  <c r="AD341" i="4"/>
  <c r="T246" i="4"/>
  <c r="AH246" i="4" s="1"/>
  <c r="N256" i="4"/>
  <c r="AC256" i="4"/>
  <c r="AE256" i="4" s="1"/>
  <c r="AF256" i="4" s="1"/>
  <c r="N260" i="4"/>
  <c r="N265" i="4"/>
  <c r="M265" i="4"/>
  <c r="U280" i="4"/>
  <c r="AC280" i="4"/>
  <c r="AE280" i="4" s="1"/>
  <c r="AF280" i="4" s="1"/>
  <c r="AI281" i="4"/>
  <c r="N281" i="4"/>
  <c r="AH281" i="4"/>
  <c r="M281" i="4"/>
  <c r="AI289" i="4"/>
  <c r="N289" i="4"/>
  <c r="AH289" i="4"/>
  <c r="M289" i="4"/>
  <c r="N294" i="4"/>
  <c r="M294" i="4"/>
  <c r="AH260" i="4"/>
  <c r="AI265" i="4"/>
  <c r="AH265" i="4"/>
  <c r="AC275" i="4"/>
  <c r="AE275" i="4" s="1"/>
  <c r="AF275" i="4" s="1"/>
  <c r="AH275" i="4"/>
  <c r="U275" i="4"/>
  <c r="X275" i="4" s="1"/>
  <c r="AC279" i="4"/>
  <c r="U279" i="4"/>
  <c r="X279" i="4" s="1"/>
  <c r="AI248" i="4"/>
  <c r="AH258" i="4"/>
  <c r="M258" i="4"/>
  <c r="M260" i="4"/>
  <c r="U261" i="4"/>
  <c r="AC261" i="4"/>
  <c r="U265" i="4"/>
  <c r="X265" i="4" s="1"/>
  <c r="N268" i="4"/>
  <c r="AD281" i="4"/>
  <c r="AD261" i="4"/>
  <c r="AI268" i="4"/>
  <c r="AH268" i="4"/>
  <c r="U269" i="4"/>
  <c r="AC269" i="4"/>
  <c r="U288" i="4"/>
  <c r="X288" i="4" s="1"/>
  <c r="AC288" i="4"/>
  <c r="AE288" i="4" s="1"/>
  <c r="AF288" i="4" s="1"/>
  <c r="M249" i="4"/>
  <c r="M257" i="4"/>
  <c r="AD264" i="4"/>
  <c r="AH266" i="4"/>
  <c r="M266" i="4"/>
  <c r="M268" i="4"/>
  <c r="U277" i="4"/>
  <c r="AC277" i="4"/>
  <c r="AE277" i="4" s="1"/>
  <c r="AF277" i="4" s="1"/>
  <c r="AI297" i="4"/>
  <c r="N297" i="4"/>
  <c r="AH297" i="4"/>
  <c r="M297" i="4"/>
  <c r="AH312" i="4"/>
  <c r="AC312" i="4"/>
  <c r="U312" i="4"/>
  <c r="X312" i="4" s="1"/>
  <c r="T323" i="4"/>
  <c r="AH323" i="4" s="1"/>
  <c r="N285" i="4"/>
  <c r="M285" i="4"/>
  <c r="U289" i="4"/>
  <c r="AD298" i="4"/>
  <c r="T282" i="4"/>
  <c r="AH282" i="4" s="1"/>
  <c r="T300" i="4"/>
  <c r="AH300" i="4" s="1"/>
  <c r="N305" i="4"/>
  <c r="M305" i="4"/>
  <c r="N308" i="4"/>
  <c r="M308" i="4"/>
  <c r="AC320" i="4"/>
  <c r="U320" i="4"/>
  <c r="X320" i="4" s="1"/>
  <c r="U321" i="4"/>
  <c r="AC321" i="4"/>
  <c r="AE321" i="4" s="1"/>
  <c r="AF321" i="4" s="1"/>
  <c r="AH321" i="4"/>
  <c r="AC273" i="4"/>
  <c r="AE273" i="4" s="1"/>
  <c r="AF273" i="4" s="1"/>
  <c r="M280" i="4"/>
  <c r="U281" i="4"/>
  <c r="N282" i="4"/>
  <c r="M282" i="4"/>
  <c r="AD282" i="4"/>
  <c r="N286" i="4"/>
  <c r="AE325" i="4"/>
  <c r="AF325" i="4" s="1"/>
  <c r="AD325" i="4"/>
  <c r="AC325" i="4"/>
  <c r="AC258" i="4"/>
  <c r="AC266" i="4"/>
  <c r="AE266" i="4" s="1"/>
  <c r="AF266" i="4" s="1"/>
  <c r="AD269" i="4"/>
  <c r="M270" i="4"/>
  <c r="M272" i="4"/>
  <c r="M275" i="4"/>
  <c r="AH279" i="4"/>
  <c r="AH280" i="4"/>
  <c r="AD284" i="4"/>
  <c r="AC296" i="4"/>
  <c r="AE296" i="4" s="1"/>
  <c r="AF296" i="4" s="1"/>
  <c r="AH299" i="4"/>
  <c r="AI299" i="4"/>
  <c r="N299" i="4"/>
  <c r="N302" i="4"/>
  <c r="M302" i="4"/>
  <c r="AC255" i="4"/>
  <c r="AE255" i="4" s="1"/>
  <c r="AF255" i="4" s="1"/>
  <c r="M259" i="4"/>
  <c r="AC263" i="4"/>
  <c r="AE263" i="4" s="1"/>
  <c r="AF263" i="4" s="1"/>
  <c r="M267" i="4"/>
  <c r="AH267" i="4"/>
  <c r="AC284" i="4"/>
  <c r="T291" i="4"/>
  <c r="AD293" i="4"/>
  <c r="U299" i="4"/>
  <c r="X299" i="4" s="1"/>
  <c r="T315" i="4"/>
  <c r="AH315" i="4" s="1"/>
  <c r="AC328" i="4"/>
  <c r="U328" i="4"/>
  <c r="X328" i="4" s="1"/>
  <c r="AC338" i="4"/>
  <c r="U338" i="4"/>
  <c r="M278" i="4"/>
  <c r="AD279" i="4"/>
  <c r="AH284" i="4"/>
  <c r="AI288" i="4"/>
  <c r="AH288" i="4"/>
  <c r="M288" i="4"/>
  <c r="T290" i="4"/>
  <c r="AC310" i="4"/>
  <c r="AE310" i="4" s="1"/>
  <c r="AF310" i="4" s="1"/>
  <c r="AH310" i="4"/>
  <c r="U310" i="4"/>
  <c r="X310" i="4" s="1"/>
  <c r="N329" i="4"/>
  <c r="M329" i="4"/>
  <c r="N331" i="4"/>
  <c r="M331" i="4"/>
  <c r="AC285" i="4"/>
  <c r="U306" i="4"/>
  <c r="AH309" i="4"/>
  <c r="N315" i="4"/>
  <c r="M315" i="4"/>
  <c r="N323" i="4"/>
  <c r="M323" i="4"/>
  <c r="AC332" i="4"/>
  <c r="AE332" i="4" s="1"/>
  <c r="AF332" i="4" s="1"/>
  <c r="U332" i="4"/>
  <c r="N339" i="4"/>
  <c r="M339" i="4"/>
  <c r="T298" i="4"/>
  <c r="AC301" i="4"/>
  <c r="AE301" i="4" s="1"/>
  <c r="AF301" i="4" s="1"/>
  <c r="AH303" i="4"/>
  <c r="AC304" i="4"/>
  <c r="AE304" i="4" s="1"/>
  <c r="AF304" i="4" s="1"/>
  <c r="AC307" i="4"/>
  <c r="AE307" i="4" s="1"/>
  <c r="AF307" i="4" s="1"/>
  <c r="U309" i="4"/>
  <c r="N313" i="4"/>
  <c r="AC324" i="4"/>
  <c r="AE324" i="4" s="1"/>
  <c r="AF324" i="4" s="1"/>
  <c r="U324" i="4"/>
  <c r="AH329" i="4"/>
  <c r="T334" i="4"/>
  <c r="AH334" i="4" s="1"/>
  <c r="M338" i="4"/>
  <c r="AH338" i="4"/>
  <c r="U342" i="4"/>
  <c r="AC342" i="4"/>
  <c r="AE342" i="4" s="1"/>
  <c r="AF342" i="4" s="1"/>
  <c r="AH342" i="4"/>
  <c r="U356" i="4"/>
  <c r="AC356" i="4"/>
  <c r="AE356" i="4" s="1"/>
  <c r="AF356" i="4" s="1"/>
  <c r="AC295" i="4"/>
  <c r="AE295" i="4" s="1"/>
  <c r="AF295" i="4" s="1"/>
  <c r="AI303" i="4"/>
  <c r="U311" i="4"/>
  <c r="AC311" i="4"/>
  <c r="AE311" i="4" s="1"/>
  <c r="AF311" i="4" s="1"/>
  <c r="N318" i="4"/>
  <c r="M318" i="4"/>
  <c r="T326" i="4"/>
  <c r="AH326" i="4" s="1"/>
  <c r="N334" i="4"/>
  <c r="M334" i="4"/>
  <c r="AC292" i="4"/>
  <c r="M296" i="4"/>
  <c r="AH296" i="4"/>
  <c r="AC302" i="4"/>
  <c r="U304" i="4"/>
  <c r="AC305" i="4"/>
  <c r="M313" i="4"/>
  <c r="AD314" i="4"/>
  <c r="U317" i="4"/>
  <c r="AH317" i="4"/>
  <c r="AI318" i="4"/>
  <c r="N326" i="4"/>
  <c r="M326" i="4"/>
  <c r="M332" i="4"/>
  <c r="AH332" i="4"/>
  <c r="AI334" i="4"/>
  <c r="AD335" i="4"/>
  <c r="AC335" i="4"/>
  <c r="AC281" i="4"/>
  <c r="AH285" i="4"/>
  <c r="AC289" i="4"/>
  <c r="AD292" i="4"/>
  <c r="M293" i="4"/>
  <c r="AC297" i="4"/>
  <c r="AH301" i="4"/>
  <c r="AD302" i="4"/>
  <c r="AD305" i="4"/>
  <c r="M306" i="4"/>
  <c r="T318" i="4"/>
  <c r="AH318" i="4" s="1"/>
  <c r="M324" i="4"/>
  <c r="AH324" i="4"/>
  <c r="AI326" i="4"/>
  <c r="U327" i="4"/>
  <c r="AC327" i="4"/>
  <c r="AH328" i="4"/>
  <c r="AD328" i="4"/>
  <c r="AD330" i="4"/>
  <c r="N332" i="4"/>
  <c r="U333" i="4"/>
  <c r="AH333" i="4"/>
  <c r="T336" i="4"/>
  <c r="AH336" i="4" s="1"/>
  <c r="M342" i="4"/>
  <c r="U343" i="4"/>
  <c r="AC343" i="4"/>
  <c r="U352" i="4"/>
  <c r="X352" i="4" s="1"/>
  <c r="AC352" i="4"/>
  <c r="T355" i="4"/>
  <c r="AH355" i="4" s="1"/>
  <c r="AH359" i="4"/>
  <c r="U359" i="4"/>
  <c r="AC359" i="4"/>
  <c r="AE359" i="4" s="1"/>
  <c r="AF359" i="4" s="1"/>
  <c r="AC276" i="4"/>
  <c r="AE276" i="4" s="1"/>
  <c r="AF276" i="4" s="1"/>
  <c r="AC278" i="4"/>
  <c r="AC286" i="4"/>
  <c r="AE286" i="4" s="1"/>
  <c r="AF286" i="4" s="1"/>
  <c r="AD289" i="4"/>
  <c r="M290" i="4"/>
  <c r="AC294" i="4"/>
  <c r="AE294" i="4" s="1"/>
  <c r="AF294" i="4" s="1"/>
  <c r="AD297" i="4"/>
  <c r="M298" i="4"/>
  <c r="AI301" i="4"/>
  <c r="U308" i="4"/>
  <c r="M310" i="4"/>
  <c r="M311" i="4"/>
  <c r="AH314" i="4"/>
  <c r="U319" i="4"/>
  <c r="AC319" i="4"/>
  <c r="AH320" i="4"/>
  <c r="AD320" i="4"/>
  <c r="AD322" i="4"/>
  <c r="N324" i="4"/>
  <c r="U325" i="4"/>
  <c r="AH325" i="4"/>
  <c r="M299" i="4"/>
  <c r="AH307" i="4"/>
  <c r="AD312" i="4"/>
  <c r="AH313" i="4"/>
  <c r="U314" i="4"/>
  <c r="AD317" i="4"/>
  <c r="U329" i="4"/>
  <c r="AC329" i="4"/>
  <c r="AD333" i="4"/>
  <c r="AI336" i="4"/>
  <c r="AH337" i="4"/>
  <c r="AI338" i="4"/>
  <c r="AH356" i="4"/>
  <c r="AH335" i="4"/>
  <c r="AD349" i="4"/>
  <c r="T344" i="4"/>
  <c r="AH344" i="4" s="1"/>
  <c r="M347" i="4"/>
  <c r="AC347" i="4"/>
  <c r="AE347" i="4" s="1"/>
  <c r="AF347" i="4" s="1"/>
  <c r="M348" i="4"/>
  <c r="AH358" i="4"/>
  <c r="U358" i="4"/>
  <c r="AD384" i="4"/>
  <c r="M336" i="4"/>
  <c r="AH345" i="4"/>
  <c r="AD346" i="4"/>
  <c r="N351" i="4"/>
  <c r="AD352" i="4"/>
  <c r="AC358" i="4"/>
  <c r="AE358" i="4" s="1"/>
  <c r="AF358" i="4" s="1"/>
  <c r="AD367" i="4"/>
  <c r="AC371" i="4"/>
  <c r="AE371" i="4" s="1"/>
  <c r="AF371" i="4" s="1"/>
  <c r="U371" i="4"/>
  <c r="X371" i="4" s="1"/>
  <c r="T346" i="4"/>
  <c r="N350" i="4"/>
  <c r="M350" i="4"/>
  <c r="AH351" i="4"/>
  <c r="M378" i="4"/>
  <c r="N378" i="4"/>
  <c r="AC314" i="4"/>
  <c r="AC322" i="4"/>
  <c r="AC330" i="4"/>
  <c r="N336" i="4"/>
  <c r="AC340" i="4"/>
  <c r="AE340" i="4" s="1"/>
  <c r="AF340" i="4" s="1"/>
  <c r="N344" i="4"/>
  <c r="M344" i="4"/>
  <c r="AH347" i="4"/>
  <c r="AH348" i="4"/>
  <c r="AH349" i="4"/>
  <c r="U349" i="4"/>
  <c r="AI350" i="4"/>
  <c r="U351" i="4"/>
  <c r="AC353" i="4"/>
  <c r="AE353" i="4" s="1"/>
  <c r="AF353" i="4" s="1"/>
  <c r="U353" i="4"/>
  <c r="X353" i="4" s="1"/>
  <c r="AD366" i="4"/>
  <c r="U368" i="4"/>
  <c r="AC368" i="4"/>
  <c r="AH368" i="4"/>
  <c r="N387" i="4"/>
  <c r="M387" i="4"/>
  <c r="AH331" i="4"/>
  <c r="U335" i="4"/>
  <c r="AH340" i="4"/>
  <c r="M343" i="4"/>
  <c r="AI344" i="4"/>
  <c r="M345" i="4"/>
  <c r="U348" i="4"/>
  <c r="AC348" i="4"/>
  <c r="AE348" i="4" s="1"/>
  <c r="AF348" i="4" s="1"/>
  <c r="T350" i="4"/>
  <c r="AH350" i="4" s="1"/>
  <c r="N353" i="4"/>
  <c r="M353" i="4"/>
  <c r="T377" i="4"/>
  <c r="I377" i="4"/>
  <c r="AD338" i="4"/>
  <c r="T341" i="4"/>
  <c r="AD343" i="4"/>
  <c r="N347" i="4"/>
  <c r="AI353" i="4"/>
  <c r="AH353" i="4"/>
  <c r="AH367" i="4"/>
  <c r="U367" i="4"/>
  <c r="AC367" i="4"/>
  <c r="I384" i="4"/>
  <c r="T384" i="4"/>
  <c r="T383" i="4"/>
  <c r="U385" i="4"/>
  <c r="AC385" i="4"/>
  <c r="AE385" i="4" s="1"/>
  <c r="AF385" i="4" s="1"/>
  <c r="N392" i="4"/>
  <c r="T378" i="4"/>
  <c r="AD380" i="4"/>
  <c r="N386" i="4"/>
  <c r="AD386" i="4"/>
  <c r="T387" i="4"/>
  <c r="AH388" i="4"/>
  <c r="T390" i="4"/>
  <c r="M392" i="4"/>
  <c r="AD392" i="4"/>
  <c r="P393" i="4"/>
  <c r="T398" i="4"/>
  <c r="AD362" i="4"/>
  <c r="AD363" i="4"/>
  <c r="AD365" i="4"/>
  <c r="AD375" i="4"/>
  <c r="M390" i="4"/>
  <c r="M391" i="4"/>
  <c r="AC354" i="4"/>
  <c r="I369" i="4"/>
  <c r="AH369" i="4"/>
  <c r="AC370" i="4"/>
  <c r="AC373" i="4"/>
  <c r="AC376" i="4"/>
  <c r="AD378" i="4"/>
  <c r="T382" i="4"/>
  <c r="T392" i="4"/>
  <c r="AC351" i="4"/>
  <c r="AD354" i="4"/>
  <c r="M355" i="4"/>
  <c r="I357" i="4"/>
  <c r="AD370" i="4"/>
  <c r="AH372" i="4"/>
  <c r="AD373" i="4"/>
  <c r="AD376" i="4"/>
  <c r="U380" i="4"/>
  <c r="I382" i="4"/>
  <c r="M383" i="4"/>
  <c r="AH385" i="4"/>
  <c r="N389" i="4"/>
  <c r="M389" i="4"/>
  <c r="N390" i="4"/>
  <c r="M394" i="4"/>
  <c r="X394" i="4" s="1"/>
  <c r="AC396" i="4"/>
  <c r="AE396" i="4" s="1"/>
  <c r="AF396" i="4" s="1"/>
  <c r="AD351" i="4"/>
  <c r="M352" i="4"/>
  <c r="AH352" i="4"/>
  <c r="AC360" i="4"/>
  <c r="AE360" i="4" s="1"/>
  <c r="AF360" i="4" s="1"/>
  <c r="AD368" i="4"/>
  <c r="U370" i="4"/>
  <c r="U373" i="4"/>
  <c r="T391" i="4"/>
  <c r="T394" i="4"/>
  <c r="T397" i="4"/>
  <c r="M397" i="4"/>
  <c r="X397" i="4" s="1"/>
  <c r="T386" i="4"/>
  <c r="AD388" i="4"/>
  <c r="I395" i="4"/>
  <c r="I397" i="4"/>
  <c r="T401" i="4"/>
  <c r="M401" i="4"/>
  <c r="X401" i="4" s="1"/>
  <c r="AE46" i="4" l="1"/>
  <c r="AF46" i="4" s="1"/>
  <c r="Z183" i="4"/>
  <c r="X330" i="4"/>
  <c r="P211" i="4"/>
  <c r="O327" i="4"/>
  <c r="O338" i="4"/>
  <c r="X284" i="4"/>
  <c r="V284" i="4"/>
  <c r="Y284" i="4" s="1"/>
  <c r="W224" i="4"/>
  <c r="V105" i="4"/>
  <c r="O301" i="4"/>
  <c r="Y301" i="4" s="1"/>
  <c r="P10" i="4"/>
  <c r="AE349" i="4"/>
  <c r="AF349" i="4" s="1"/>
  <c r="X105" i="4"/>
  <c r="AE317" i="4"/>
  <c r="AF317" i="4" s="1"/>
  <c r="W264" i="4"/>
  <c r="V273" i="4"/>
  <c r="AE380" i="4"/>
  <c r="AF380" i="4" s="1"/>
  <c r="V285" i="4"/>
  <c r="X285" i="4"/>
  <c r="V264" i="4"/>
  <c r="V102" i="4"/>
  <c r="O45" i="4"/>
  <c r="O183" i="4"/>
  <c r="X145" i="4"/>
  <c r="V354" i="4"/>
  <c r="Y354" i="4" s="1"/>
  <c r="V145" i="4"/>
  <c r="P196" i="4"/>
  <c r="X102" i="4"/>
  <c r="V302" i="4"/>
  <c r="O295" i="4"/>
  <c r="X115" i="4"/>
  <c r="O186" i="4"/>
  <c r="V115" i="4"/>
  <c r="Y115" i="4" s="1"/>
  <c r="P182" i="4"/>
  <c r="X295" i="4"/>
  <c r="P317" i="4"/>
  <c r="O261" i="4"/>
  <c r="P214" i="4"/>
  <c r="AH389" i="4"/>
  <c r="V283" i="4"/>
  <c r="U389" i="4"/>
  <c r="X389" i="4" s="1"/>
  <c r="X59" i="4"/>
  <c r="V287" i="4"/>
  <c r="Y287" i="4" s="1"/>
  <c r="N368" i="4"/>
  <c r="P368" i="4" s="1"/>
  <c r="W196" i="4"/>
  <c r="V196" i="4"/>
  <c r="Y196" i="4" s="1"/>
  <c r="AE35" i="4"/>
  <c r="AF35" i="4" s="1"/>
  <c r="O138" i="4"/>
  <c r="P122" i="4"/>
  <c r="Z122" i="4" s="1"/>
  <c r="P310" i="4"/>
  <c r="O343" i="4"/>
  <c r="P188" i="4"/>
  <c r="X183" i="4"/>
  <c r="V241" i="4"/>
  <c r="Y241" i="4" s="1"/>
  <c r="V153" i="4"/>
  <c r="AE163" i="4"/>
  <c r="AF163" i="4" s="1"/>
  <c r="AE299" i="4"/>
  <c r="AF299" i="4" s="1"/>
  <c r="O193" i="4"/>
  <c r="V183" i="4"/>
  <c r="X369" i="4"/>
  <c r="U374" i="4"/>
  <c r="X374" i="4" s="1"/>
  <c r="P241" i="4"/>
  <c r="Z241" i="4" s="1"/>
  <c r="V369" i="4"/>
  <c r="O96" i="4"/>
  <c r="Z59" i="4"/>
  <c r="P189" i="4"/>
  <c r="Z189" i="4" s="1"/>
  <c r="X39" i="4"/>
  <c r="V211" i="4"/>
  <c r="Y211" i="4" s="1"/>
  <c r="P151" i="4"/>
  <c r="X171" i="4"/>
  <c r="P284" i="4"/>
  <c r="Z284" i="4" s="1"/>
  <c r="W211" i="4"/>
  <c r="V171" i="4"/>
  <c r="V39" i="4"/>
  <c r="V76" i="4"/>
  <c r="O59" i="4"/>
  <c r="X76" i="4"/>
  <c r="V256" i="4"/>
  <c r="O139" i="4"/>
  <c r="Y139" i="4" s="1"/>
  <c r="M371" i="4"/>
  <c r="P200" i="4"/>
  <c r="X109" i="4"/>
  <c r="W78" i="4"/>
  <c r="O57" i="4"/>
  <c r="X302" i="4"/>
  <c r="V225" i="4"/>
  <c r="AE155" i="4"/>
  <c r="AF155" i="4" s="1"/>
  <c r="AC212" i="4"/>
  <c r="AE212" i="4" s="1"/>
  <c r="AF212" i="4" s="1"/>
  <c r="V159" i="4"/>
  <c r="Y159" i="4" s="1"/>
  <c r="V59" i="4"/>
  <c r="P90" i="4"/>
  <c r="O132" i="4"/>
  <c r="O89" i="4"/>
  <c r="Y89" i="4" s="1"/>
  <c r="P224" i="4"/>
  <c r="P269" i="4"/>
  <c r="W85" i="4"/>
  <c r="X78" i="4"/>
  <c r="O147" i="4"/>
  <c r="P162" i="4"/>
  <c r="X255" i="4"/>
  <c r="X153" i="4"/>
  <c r="W287" i="4"/>
  <c r="O199" i="4"/>
  <c r="X283" i="4"/>
  <c r="O373" i="4"/>
  <c r="AH212" i="4"/>
  <c r="V212" i="4"/>
  <c r="O14" i="4"/>
  <c r="AH374" i="4"/>
  <c r="W212" i="4"/>
  <c r="P290" i="4"/>
  <c r="V337" i="4"/>
  <c r="P307" i="4"/>
  <c r="Z307" i="4" s="1"/>
  <c r="P18" i="4"/>
  <c r="X337" i="4"/>
  <c r="P159" i="4"/>
  <c r="Z159" i="4" s="1"/>
  <c r="V322" i="4"/>
  <c r="X155" i="4"/>
  <c r="W248" i="4"/>
  <c r="V189" i="4"/>
  <c r="Y189" i="4" s="1"/>
  <c r="P342" i="4"/>
  <c r="X248" i="4"/>
  <c r="V155" i="4"/>
  <c r="W131" i="4"/>
  <c r="M373" i="4"/>
  <c r="V247" i="4"/>
  <c r="O296" i="4"/>
  <c r="W247" i="4"/>
  <c r="Z247" i="4" s="1"/>
  <c r="O127" i="4"/>
  <c r="V70" i="4"/>
  <c r="Z337" i="4"/>
  <c r="X75" i="4"/>
  <c r="Y224" i="4"/>
  <c r="V75" i="4"/>
  <c r="W46" i="4"/>
  <c r="O107" i="4"/>
  <c r="X331" i="4"/>
  <c r="X163" i="4"/>
  <c r="V143" i="4"/>
  <c r="P83" i="4"/>
  <c r="W276" i="4"/>
  <c r="Z276" i="4" s="1"/>
  <c r="O235" i="4"/>
  <c r="V163" i="4"/>
  <c r="O42" i="4"/>
  <c r="W273" i="4"/>
  <c r="Z273" i="4" s="1"/>
  <c r="X224" i="4"/>
  <c r="X190" i="4"/>
  <c r="O316" i="4"/>
  <c r="V276" i="4"/>
  <c r="O27" i="4"/>
  <c r="Y27" i="4" s="1"/>
  <c r="X167" i="4"/>
  <c r="V167" i="4"/>
  <c r="Y167" i="4" s="1"/>
  <c r="W179" i="4"/>
  <c r="W37" i="4"/>
  <c r="W376" i="4"/>
  <c r="X376" i="4"/>
  <c r="O192" i="4"/>
  <c r="O288" i="4"/>
  <c r="O207" i="4"/>
  <c r="O321" i="4"/>
  <c r="O233" i="4"/>
  <c r="O383" i="4"/>
  <c r="AH381" i="4"/>
  <c r="V372" i="4"/>
  <c r="W347" i="4"/>
  <c r="P254" i="4"/>
  <c r="V253" i="4"/>
  <c r="W231" i="4"/>
  <c r="O266" i="4"/>
  <c r="X175" i="4"/>
  <c r="X131" i="4"/>
  <c r="W70" i="4"/>
  <c r="Z70" i="4" s="1"/>
  <c r="P346" i="4"/>
  <c r="O217" i="4"/>
  <c r="W223" i="4"/>
  <c r="Z223" i="4" s="1"/>
  <c r="AE388" i="4"/>
  <c r="AF388" i="4" s="1"/>
  <c r="X347" i="4"/>
  <c r="P248" i="4"/>
  <c r="V175" i="4"/>
  <c r="V51" i="4"/>
  <c r="Z11" i="4"/>
  <c r="O314" i="4"/>
  <c r="V231" i="4"/>
  <c r="Y231" i="4" s="1"/>
  <c r="AC233" i="4"/>
  <c r="AE233" i="4" s="1"/>
  <c r="AF233" i="4" s="1"/>
  <c r="P187" i="4"/>
  <c r="O130" i="4"/>
  <c r="X20" i="4"/>
  <c r="N385" i="4"/>
  <c r="P385" i="4" s="1"/>
  <c r="O391" i="4"/>
  <c r="W372" i="4"/>
  <c r="O322" i="4"/>
  <c r="O11" i="4"/>
  <c r="V20" i="4"/>
  <c r="Z102" i="4"/>
  <c r="O333" i="4"/>
  <c r="P176" i="4"/>
  <c r="O280" i="4"/>
  <c r="P125" i="4"/>
  <c r="O26" i="4"/>
  <c r="O51" i="4"/>
  <c r="P231" i="4"/>
  <c r="O70" i="4"/>
  <c r="P81" i="4"/>
  <c r="W330" i="4"/>
  <c r="Z330" i="4" s="1"/>
  <c r="Y78" i="4"/>
  <c r="P226" i="4"/>
  <c r="V209" i="4"/>
  <c r="V158" i="4"/>
  <c r="W89" i="4"/>
  <c r="Z89" i="4" s="1"/>
  <c r="P78" i="4"/>
  <c r="V296" i="4"/>
  <c r="W296" i="4"/>
  <c r="Z296" i="4" s="1"/>
  <c r="W209" i="4"/>
  <c r="W158" i="4"/>
  <c r="AC400" i="4"/>
  <c r="AE400" i="4" s="1"/>
  <c r="AF400" i="4" s="1"/>
  <c r="O303" i="4"/>
  <c r="Y303" i="4" s="1"/>
  <c r="V267" i="4"/>
  <c r="AE49" i="4"/>
  <c r="AF49" i="4" s="1"/>
  <c r="V72" i="4"/>
  <c r="W72" i="4"/>
  <c r="O15" i="4"/>
  <c r="V37" i="4"/>
  <c r="P21" i="4"/>
  <c r="W201" i="4"/>
  <c r="V286" i="4"/>
  <c r="W293" i="4"/>
  <c r="X208" i="4"/>
  <c r="U361" i="4"/>
  <c r="W361" i="4" s="1"/>
  <c r="Z361" i="4" s="1"/>
  <c r="W286" i="4"/>
  <c r="V208" i="4"/>
  <c r="O135" i="4"/>
  <c r="O3" i="4"/>
  <c r="W19" i="4"/>
  <c r="Z19" i="4" s="1"/>
  <c r="X340" i="4"/>
  <c r="O345" i="4"/>
  <c r="X19" i="4"/>
  <c r="O62" i="4"/>
  <c r="O337" i="4"/>
  <c r="P167" i="4"/>
  <c r="Z167" i="4" s="1"/>
  <c r="O175" i="4"/>
  <c r="V42" i="4"/>
  <c r="U366" i="4"/>
  <c r="W366" i="4" s="1"/>
  <c r="Z366" i="4" s="1"/>
  <c r="W340" i="4"/>
  <c r="V122" i="4"/>
  <c r="Y122" i="4" s="1"/>
  <c r="O102" i="4"/>
  <c r="AH54" i="4"/>
  <c r="Z283" i="4"/>
  <c r="O300" i="4"/>
  <c r="W297" i="4"/>
  <c r="X297" i="4"/>
  <c r="O283" i="4"/>
  <c r="X268" i="4"/>
  <c r="W244" i="4"/>
  <c r="X229" i="4"/>
  <c r="V229" i="4"/>
  <c r="W82" i="4"/>
  <c r="O5" i="4"/>
  <c r="X244" i="4"/>
  <c r="P320" i="4"/>
  <c r="O278" i="4"/>
  <c r="Y278" i="4" s="1"/>
  <c r="W305" i="4"/>
  <c r="X305" i="4"/>
  <c r="V292" i="4"/>
  <c r="X271" i="4"/>
  <c r="V274" i="4"/>
  <c r="V268" i="4"/>
  <c r="W199" i="4"/>
  <c r="Z199" i="4" s="1"/>
  <c r="X82" i="4"/>
  <c r="O112" i="4"/>
  <c r="P50" i="4"/>
  <c r="AE333" i="4"/>
  <c r="AF333" i="4" s="1"/>
  <c r="W292" i="4"/>
  <c r="X91" i="4"/>
  <c r="O40" i="4"/>
  <c r="X11" i="4"/>
  <c r="P63" i="4"/>
  <c r="P252" i="4"/>
  <c r="V252" i="4"/>
  <c r="Y252" i="4" s="1"/>
  <c r="O276" i="4"/>
  <c r="W252" i="4"/>
  <c r="X179" i="4"/>
  <c r="W90" i="4"/>
  <c r="O56" i="4"/>
  <c r="O19" i="4"/>
  <c r="Y19" i="4" s="1"/>
  <c r="W91" i="4"/>
  <c r="O16" i="4"/>
  <c r="P8" i="4"/>
  <c r="N370" i="4"/>
  <c r="P370" i="4" s="1"/>
  <c r="P174" i="4"/>
  <c r="U381" i="4"/>
  <c r="X381" i="4" s="1"/>
  <c r="X274" i="4"/>
  <c r="O253" i="4"/>
  <c r="V142" i="4"/>
  <c r="O33" i="4"/>
  <c r="P29" i="4"/>
  <c r="W42" i="4"/>
  <c r="Z42" i="4" s="1"/>
  <c r="X142" i="4"/>
  <c r="Z175" i="4"/>
  <c r="AE330" i="4"/>
  <c r="AF330" i="4" s="1"/>
  <c r="Z253" i="4"/>
  <c r="V114" i="4"/>
  <c r="Y114" i="4" s="1"/>
  <c r="Z38" i="4"/>
  <c r="AH361" i="4"/>
  <c r="X239" i="4"/>
  <c r="V239" i="4"/>
  <c r="P172" i="4"/>
  <c r="V132" i="4"/>
  <c r="V88" i="4"/>
  <c r="Y88" i="4" s="1"/>
  <c r="AE85" i="4"/>
  <c r="AF85" i="4" s="1"/>
  <c r="W132" i="4"/>
  <c r="Z132" i="4" s="1"/>
  <c r="W109" i="4"/>
  <c r="O99" i="4"/>
  <c r="AC364" i="4"/>
  <c r="AE364" i="4" s="1"/>
  <c r="AF364" i="4" s="1"/>
  <c r="P354" i="4"/>
  <c r="Z354" i="4" s="1"/>
  <c r="O257" i="4"/>
  <c r="P131" i="4"/>
  <c r="P349" i="4"/>
  <c r="O259" i="4"/>
  <c r="P218" i="4"/>
  <c r="Y131" i="4"/>
  <c r="X90" i="4"/>
  <c r="P7" i="4"/>
  <c r="X388" i="4"/>
  <c r="P236" i="4"/>
  <c r="AH132" i="4"/>
  <c r="X38" i="4"/>
  <c r="O311" i="4"/>
  <c r="AC132" i="4"/>
  <c r="AE132" i="4" s="1"/>
  <c r="AF132" i="4" s="1"/>
  <c r="W58" i="4"/>
  <c r="V38" i="4"/>
  <c r="W28" i="4"/>
  <c r="W388" i="4"/>
  <c r="AE314" i="4"/>
  <c r="AF314" i="4" s="1"/>
  <c r="AE196" i="4"/>
  <c r="AF196" i="4" s="1"/>
  <c r="O128" i="4"/>
  <c r="W88" i="4"/>
  <c r="X58" i="4"/>
  <c r="Z278" i="4"/>
  <c r="AE224" i="4"/>
  <c r="AF224" i="4" s="1"/>
  <c r="AE37" i="4"/>
  <c r="AF37" i="4" s="1"/>
  <c r="V393" i="4"/>
  <c r="Y393" i="4" s="1"/>
  <c r="V66" i="4"/>
  <c r="V11" i="4"/>
  <c r="W393" i="4"/>
  <c r="Z393" i="4" s="1"/>
  <c r="V271" i="4"/>
  <c r="O246" i="4"/>
  <c r="P242" i="4"/>
  <c r="X253" i="4"/>
  <c r="V190" i="4"/>
  <c r="V135" i="4"/>
  <c r="W80" i="4"/>
  <c r="AE43" i="4"/>
  <c r="AF43" i="4" s="1"/>
  <c r="O38" i="4"/>
  <c r="O330" i="4"/>
  <c r="Y330" i="4" s="1"/>
  <c r="X223" i="4"/>
  <c r="O219" i="4"/>
  <c r="Y123" i="4"/>
  <c r="V255" i="4"/>
  <c r="Y255" i="4" s="1"/>
  <c r="V235" i="4"/>
  <c r="X189" i="4"/>
  <c r="X201" i="4"/>
  <c r="X354" i="4"/>
  <c r="P287" i="4"/>
  <c r="O267" i="4"/>
  <c r="O230" i="4"/>
  <c r="O247" i="4"/>
  <c r="X140" i="4"/>
  <c r="V140" i="4"/>
  <c r="V199" i="4"/>
  <c r="X89" i="4"/>
  <c r="AE51" i="4"/>
  <c r="AF51" i="4" s="1"/>
  <c r="X80" i="4"/>
  <c r="O34" i="4"/>
  <c r="W251" i="4"/>
  <c r="P160" i="4"/>
  <c r="W144" i="4"/>
  <c r="N376" i="4"/>
  <c r="O376" i="4" s="1"/>
  <c r="Y376" i="4" s="1"/>
  <c r="O291" i="4"/>
  <c r="P304" i="4"/>
  <c r="X225" i="4"/>
  <c r="Y216" i="4"/>
  <c r="X251" i="4"/>
  <c r="X159" i="4"/>
  <c r="P114" i="4"/>
  <c r="X43" i="4"/>
  <c r="X28" i="4"/>
  <c r="U357" i="4"/>
  <c r="AE231" i="4"/>
  <c r="AF231" i="4" s="1"/>
  <c r="V295" i="4"/>
  <c r="AE264" i="4"/>
  <c r="AF264" i="4" s="1"/>
  <c r="O273" i="4"/>
  <c r="O243" i="4"/>
  <c r="Y243" i="4" s="1"/>
  <c r="W235" i="4"/>
  <c r="Z235" i="4" s="1"/>
  <c r="X241" i="4"/>
  <c r="X122" i="4"/>
  <c r="V43" i="4"/>
  <c r="P216" i="4"/>
  <c r="O60" i="4"/>
  <c r="P123" i="4"/>
  <c r="Z43" i="4"/>
  <c r="Z62" i="4"/>
  <c r="P250" i="4"/>
  <c r="Z267" i="4"/>
  <c r="M381" i="4"/>
  <c r="AC402" i="4"/>
  <c r="AE402" i="4" s="1"/>
  <c r="AF402" i="4" s="1"/>
  <c r="P355" i="4"/>
  <c r="O341" i="4"/>
  <c r="V360" i="4"/>
  <c r="Y360" i="4" s="1"/>
  <c r="AH293" i="4"/>
  <c r="W322" i="4"/>
  <c r="Z322" i="4" s="1"/>
  <c r="AE279" i="4"/>
  <c r="AF279" i="4" s="1"/>
  <c r="AC357" i="4"/>
  <c r="AE357" i="4" s="1"/>
  <c r="AF357" i="4" s="1"/>
  <c r="AE338" i="4"/>
  <c r="AF338" i="4" s="1"/>
  <c r="AC293" i="4"/>
  <c r="AE293" i="4" s="1"/>
  <c r="AF293" i="4" s="1"/>
  <c r="V293" i="4"/>
  <c r="Y293" i="4" s="1"/>
  <c r="P244" i="4"/>
  <c r="O165" i="4"/>
  <c r="X85" i="4"/>
  <c r="X51" i="4"/>
  <c r="O35" i="4"/>
  <c r="Z60" i="4"/>
  <c r="P255" i="4"/>
  <c r="Z255" i="4" s="1"/>
  <c r="W256" i="4"/>
  <c r="X144" i="4"/>
  <c r="P375" i="4"/>
  <c r="AE322" i="4"/>
  <c r="AF322" i="4" s="1"/>
  <c r="AE281" i="4"/>
  <c r="AF281" i="4" s="1"/>
  <c r="X301" i="4"/>
  <c r="AE234" i="4"/>
  <c r="AF234" i="4" s="1"/>
  <c r="V258" i="4"/>
  <c r="AC54" i="4"/>
  <c r="AE54" i="4" s="1"/>
  <c r="AF54" i="4" s="1"/>
  <c r="P74" i="4"/>
  <c r="Y244" i="4"/>
  <c r="AC366" i="4"/>
  <c r="AE366" i="4" s="1"/>
  <c r="AF366" i="4" s="1"/>
  <c r="X139" i="4"/>
  <c r="O22" i="4"/>
  <c r="AE265" i="4"/>
  <c r="AF265" i="4" s="1"/>
  <c r="O258" i="4"/>
  <c r="W139" i="4"/>
  <c r="Z139" i="4" s="1"/>
  <c r="W123" i="4"/>
  <c r="O95" i="4"/>
  <c r="O87" i="4"/>
  <c r="X123" i="4"/>
  <c r="V54" i="4"/>
  <c r="AE17" i="4"/>
  <c r="AF17" i="4" s="1"/>
  <c r="O32" i="4"/>
  <c r="W301" i="4"/>
  <c r="Z301" i="4" s="1"/>
  <c r="AE184" i="4"/>
  <c r="AF184" i="4" s="1"/>
  <c r="W54" i="4"/>
  <c r="X307" i="4"/>
  <c r="W303" i="4"/>
  <c r="Z303" i="4" s="1"/>
  <c r="AE399" i="4"/>
  <c r="AF399" i="4" s="1"/>
  <c r="Z271" i="4"/>
  <c r="X62" i="4"/>
  <c r="AE343" i="4"/>
  <c r="AF343" i="4" s="1"/>
  <c r="M374" i="4"/>
  <c r="O356" i="4"/>
  <c r="O271" i="4"/>
  <c r="X267" i="4"/>
  <c r="AE208" i="4"/>
  <c r="AF208" i="4" s="1"/>
  <c r="V204" i="4"/>
  <c r="P115" i="4"/>
  <c r="Z115" i="4" s="1"/>
  <c r="P65" i="4"/>
  <c r="O24" i="4"/>
  <c r="W27" i="4"/>
  <c r="Z27" i="4" s="1"/>
  <c r="W114" i="4"/>
  <c r="AE78" i="4"/>
  <c r="AF78" i="4" s="1"/>
  <c r="AE261" i="4"/>
  <c r="AF261" i="4" s="1"/>
  <c r="P275" i="4"/>
  <c r="O263" i="4"/>
  <c r="X250" i="4"/>
  <c r="O170" i="4"/>
  <c r="O148" i="4"/>
  <c r="X137" i="4"/>
  <c r="P108" i="4"/>
  <c r="AE95" i="4"/>
  <c r="AF95" i="4" s="1"/>
  <c r="Z142" i="4"/>
  <c r="V62" i="4"/>
  <c r="O73" i="4"/>
  <c r="W66" i="4"/>
  <c r="P88" i="4"/>
  <c r="X27" i="4"/>
  <c r="V36" i="4"/>
  <c r="N372" i="4"/>
  <c r="P372" i="4" s="1"/>
  <c r="O142" i="4"/>
  <c r="O126" i="4"/>
  <c r="AE337" i="4"/>
  <c r="AF337" i="4" s="1"/>
  <c r="W204" i="4"/>
  <c r="AE139" i="4"/>
  <c r="AF139" i="4" s="1"/>
  <c r="O94" i="4"/>
  <c r="X68" i="4"/>
  <c r="O272" i="4"/>
  <c r="P306" i="4"/>
  <c r="V294" i="4"/>
  <c r="AE222" i="4"/>
  <c r="AF222" i="4" s="1"/>
  <c r="AE147" i="4"/>
  <c r="AF147" i="4" s="1"/>
  <c r="AE168" i="4"/>
  <c r="AF168" i="4" s="1"/>
  <c r="AE176" i="4"/>
  <c r="AF176" i="4" s="1"/>
  <c r="V116" i="4"/>
  <c r="X36" i="4"/>
  <c r="V60" i="4"/>
  <c r="AE39" i="4"/>
  <c r="AF39" i="4" s="1"/>
  <c r="X116" i="4"/>
  <c r="O6" i="4"/>
  <c r="AE367" i="4"/>
  <c r="AF367" i="4" s="1"/>
  <c r="P293" i="4"/>
  <c r="O348" i="4"/>
  <c r="V307" i="4"/>
  <c r="Y307" i="4" s="1"/>
  <c r="W250" i="4"/>
  <c r="O222" i="4"/>
  <c r="AE197" i="4"/>
  <c r="AF197" i="4" s="1"/>
  <c r="V263" i="4"/>
  <c r="AE200" i="4"/>
  <c r="AF200" i="4" s="1"/>
  <c r="AE201" i="4"/>
  <c r="AF201" i="4" s="1"/>
  <c r="V137" i="4"/>
  <c r="Y144" i="4"/>
  <c r="X60" i="4"/>
  <c r="AE12" i="4"/>
  <c r="AF12" i="4" s="1"/>
  <c r="X46" i="4"/>
  <c r="N388" i="4"/>
  <c r="O110" i="4"/>
  <c r="AE352" i="4"/>
  <c r="AF352" i="4" s="1"/>
  <c r="V331" i="4"/>
  <c r="W294" i="4"/>
  <c r="P270" i="4"/>
  <c r="W258" i="4"/>
  <c r="Z258" i="4" s="1"/>
  <c r="Y248" i="4"/>
  <c r="X263" i="4"/>
  <c r="AE123" i="4"/>
  <c r="AF123" i="4" s="1"/>
  <c r="V161" i="4"/>
  <c r="P144" i="4"/>
  <c r="W135" i="4"/>
  <c r="Z135" i="4" s="1"/>
  <c r="O64" i="4"/>
  <c r="V68" i="4"/>
  <c r="O13" i="4"/>
  <c r="O223" i="4"/>
  <c r="Y223" i="4" s="1"/>
  <c r="Z51" i="4"/>
  <c r="X303" i="4"/>
  <c r="O215" i="4"/>
  <c r="O43" i="4"/>
  <c r="P23" i="4"/>
  <c r="N380" i="4"/>
  <c r="AE370" i="4"/>
  <c r="AF370" i="4" s="1"/>
  <c r="AE209" i="4"/>
  <c r="AF209" i="4" s="1"/>
  <c r="AE104" i="4"/>
  <c r="AF104" i="4" s="1"/>
  <c r="X143" i="4"/>
  <c r="P206" i="4"/>
  <c r="O206" i="4"/>
  <c r="AE135" i="4"/>
  <c r="AF135" i="4" s="1"/>
  <c r="P30" i="4"/>
  <c r="O30" i="4"/>
  <c r="AE305" i="4"/>
  <c r="AF305" i="4" s="1"/>
  <c r="AE244" i="4"/>
  <c r="AF244" i="4" s="1"/>
  <c r="AE223" i="4"/>
  <c r="AF223" i="4" s="1"/>
  <c r="O309" i="4"/>
  <c r="P309" i="4"/>
  <c r="X216" i="4"/>
  <c r="W216" i="4"/>
  <c r="AE368" i="4"/>
  <c r="AF368" i="4" s="1"/>
  <c r="AE228" i="4"/>
  <c r="AF228" i="4" s="1"/>
  <c r="O79" i="4"/>
  <c r="P79" i="4"/>
  <c r="AE297" i="4"/>
  <c r="AF297" i="4" s="1"/>
  <c r="AE219" i="4"/>
  <c r="AF219" i="4" s="1"/>
  <c r="AE38" i="4"/>
  <c r="AF38" i="4" s="1"/>
  <c r="P319" i="4"/>
  <c r="O319" i="4"/>
  <c r="AE75" i="4"/>
  <c r="AF75" i="4" s="1"/>
  <c r="AE59" i="4"/>
  <c r="AF59" i="4" s="1"/>
  <c r="AE373" i="4"/>
  <c r="AF373" i="4" s="1"/>
  <c r="AE289" i="4"/>
  <c r="AF289" i="4" s="1"/>
  <c r="AE351" i="4"/>
  <c r="AF351" i="4" s="1"/>
  <c r="AE335" i="4"/>
  <c r="AF335" i="4" s="1"/>
  <c r="AE269" i="4"/>
  <c r="AF269" i="4" s="1"/>
  <c r="AE62" i="4"/>
  <c r="AF62" i="4" s="1"/>
  <c r="O212" i="4"/>
  <c r="P212" i="4"/>
  <c r="O251" i="4"/>
  <c r="Y251" i="4" s="1"/>
  <c r="P251" i="4"/>
  <c r="O292" i="4"/>
  <c r="P292" i="4"/>
  <c r="V236" i="4"/>
  <c r="Y236" i="4" s="1"/>
  <c r="W236" i="4"/>
  <c r="P181" i="4"/>
  <c r="O181" i="4"/>
  <c r="O121" i="4"/>
  <c r="P121" i="4"/>
  <c r="O168" i="4"/>
  <c r="P168" i="4"/>
  <c r="O129" i="4"/>
  <c r="P129" i="4"/>
  <c r="AE302" i="4"/>
  <c r="AF302" i="4" s="1"/>
  <c r="AE131" i="4"/>
  <c r="AF131" i="4" s="1"/>
  <c r="AE89" i="4"/>
  <c r="AF89" i="4" s="1"/>
  <c r="AE25" i="4"/>
  <c r="AF25" i="4" s="1"/>
  <c r="O279" i="4"/>
  <c r="P279" i="4"/>
  <c r="N379" i="4"/>
  <c r="M379" i="4"/>
  <c r="AC339" i="4"/>
  <c r="AE339" i="4" s="1"/>
  <c r="AF339" i="4" s="1"/>
  <c r="U339" i="4"/>
  <c r="AH339" i="4"/>
  <c r="O225" i="4"/>
  <c r="P225" i="4"/>
  <c r="Z225" i="4" s="1"/>
  <c r="W49" i="4"/>
  <c r="V49" i="4"/>
  <c r="AE84" i="4"/>
  <c r="AF84" i="4" s="1"/>
  <c r="AE20" i="4"/>
  <c r="AF20" i="4" s="1"/>
  <c r="AH379" i="4"/>
  <c r="AC379" i="4"/>
  <c r="AE379" i="4" s="1"/>
  <c r="AF379" i="4" s="1"/>
  <c r="P173" i="4"/>
  <c r="O173" i="4"/>
  <c r="O143" i="4"/>
  <c r="P143" i="4"/>
  <c r="Z143" i="4" s="1"/>
  <c r="P325" i="4"/>
  <c r="O325" i="4"/>
  <c r="AH365" i="4"/>
  <c r="AC365" i="4"/>
  <c r="AE365" i="4" s="1"/>
  <c r="AF365" i="4" s="1"/>
  <c r="V260" i="4"/>
  <c r="X260" i="4"/>
  <c r="P203" i="4"/>
  <c r="O203" i="4"/>
  <c r="O166" i="4"/>
  <c r="P166" i="4"/>
  <c r="P118" i="4"/>
  <c r="O118" i="4"/>
  <c r="O209" i="4"/>
  <c r="P209" i="4"/>
  <c r="O239" i="4"/>
  <c r="P239" i="4"/>
  <c r="Z239" i="4" s="1"/>
  <c r="O86" i="4"/>
  <c r="P86" i="4"/>
  <c r="V147" i="4"/>
  <c r="W147" i="4"/>
  <c r="Z147" i="4" s="1"/>
  <c r="AE320" i="4"/>
  <c r="AF320" i="4" s="1"/>
  <c r="AE328" i="4"/>
  <c r="AF328" i="4" s="1"/>
  <c r="AE115" i="4"/>
  <c r="AF115" i="4" s="1"/>
  <c r="AE102" i="4"/>
  <c r="AF102" i="4" s="1"/>
  <c r="W245" i="4"/>
  <c r="V245" i="4"/>
  <c r="U364" i="4"/>
  <c r="P328" i="4"/>
  <c r="O328" i="4"/>
  <c r="AH362" i="4"/>
  <c r="AC362" i="4"/>
  <c r="AE362" i="4" s="1"/>
  <c r="AF362" i="4" s="1"/>
  <c r="X136" i="4"/>
  <c r="W136" i="4"/>
  <c r="AH233" i="4"/>
  <c r="O134" i="4"/>
  <c r="P134" i="4"/>
  <c r="O158" i="4"/>
  <c r="P158" i="4"/>
  <c r="O234" i="4"/>
  <c r="P234" i="4"/>
  <c r="O71" i="4"/>
  <c r="P71" i="4"/>
  <c r="O150" i="4"/>
  <c r="P150" i="4"/>
  <c r="P76" i="4"/>
  <c r="Z76" i="4" s="1"/>
  <c r="O76" i="4"/>
  <c r="AE376" i="4"/>
  <c r="AF376" i="4" s="1"/>
  <c r="AE312" i="4"/>
  <c r="AF312" i="4" s="1"/>
  <c r="AE292" i="4"/>
  <c r="AF292" i="4" s="1"/>
  <c r="AE284" i="4"/>
  <c r="AF284" i="4" s="1"/>
  <c r="AE239" i="4"/>
  <c r="AF239" i="4" s="1"/>
  <c r="AE171" i="4"/>
  <c r="AF171" i="4" s="1"/>
  <c r="AE67" i="4"/>
  <c r="AF67" i="4" s="1"/>
  <c r="AE70" i="4"/>
  <c r="AF70" i="4" s="1"/>
  <c r="AE28" i="4"/>
  <c r="AF28" i="4" s="1"/>
  <c r="AH375" i="4"/>
  <c r="AC375" i="4"/>
  <c r="AE375" i="4" s="1"/>
  <c r="AF375" i="4" s="1"/>
  <c r="W345" i="4"/>
  <c r="Z345" i="4" s="1"/>
  <c r="V345" i="4"/>
  <c r="X161" i="4"/>
  <c r="P120" i="4"/>
  <c r="O120" i="4"/>
  <c r="W316" i="4"/>
  <c r="Z316" i="4" s="1"/>
  <c r="V316" i="4"/>
  <c r="O264" i="4"/>
  <c r="P264" i="4"/>
  <c r="W233" i="4"/>
  <c r="Z233" i="4" s="1"/>
  <c r="V233" i="4"/>
  <c r="O184" i="4"/>
  <c r="P184" i="4"/>
  <c r="P335" i="4"/>
  <c r="O335" i="4"/>
  <c r="O197" i="4"/>
  <c r="P197" i="4"/>
  <c r="U151" i="4"/>
  <c r="AH151" i="4"/>
  <c r="P68" i="4"/>
  <c r="Z68" i="4" s="1"/>
  <c r="O68" i="4"/>
  <c r="O113" i="4"/>
  <c r="P113" i="4"/>
  <c r="AI1" i="4"/>
  <c r="P157" i="4"/>
  <c r="O157" i="4"/>
  <c r="AH363" i="4"/>
  <c r="AC363" i="4"/>
  <c r="AE363" i="4" s="1"/>
  <c r="AF363" i="4" s="1"/>
  <c r="P191" i="4"/>
  <c r="O191" i="4"/>
  <c r="W130" i="4"/>
  <c r="Z130" i="4" s="1"/>
  <c r="V130" i="4"/>
  <c r="X130" i="4"/>
  <c r="U64" i="4"/>
  <c r="AH64" i="4"/>
  <c r="P54" i="4"/>
  <c r="O54" i="4"/>
  <c r="AE354" i="4"/>
  <c r="AF354" i="4" s="1"/>
  <c r="O352" i="4"/>
  <c r="P352" i="4"/>
  <c r="P340" i="4"/>
  <c r="O340" i="4"/>
  <c r="Y340" i="4" s="1"/>
  <c r="P277" i="4"/>
  <c r="O277" i="4"/>
  <c r="O312" i="4"/>
  <c r="P312" i="4"/>
  <c r="P298" i="4"/>
  <c r="O298" i="4"/>
  <c r="W243" i="4"/>
  <c r="Z243" i="4" s="1"/>
  <c r="X243" i="4"/>
  <c r="O46" i="4"/>
  <c r="Y46" i="4" s="1"/>
  <c r="P46" i="4"/>
  <c r="M1" i="5"/>
  <c r="W370" i="4"/>
  <c r="V370" i="4"/>
  <c r="X370" i="4"/>
  <c r="W365" i="4"/>
  <c r="Z365" i="4" s="1"/>
  <c r="V365" i="4"/>
  <c r="Y365" i="4" s="1"/>
  <c r="W368" i="4"/>
  <c r="V368" i="4"/>
  <c r="X368" i="4"/>
  <c r="V351" i="4"/>
  <c r="X351" i="4"/>
  <c r="W351" i="4"/>
  <c r="O344" i="4"/>
  <c r="P344" i="4"/>
  <c r="AC344" i="4"/>
  <c r="AE344" i="4" s="1"/>
  <c r="AF344" i="4" s="1"/>
  <c r="U344" i="4"/>
  <c r="V308" i="4"/>
  <c r="X308" i="4"/>
  <c r="W308" i="4"/>
  <c r="W327" i="4"/>
  <c r="Z327" i="4" s="1"/>
  <c r="V327" i="4"/>
  <c r="X327" i="4"/>
  <c r="X311" i="4"/>
  <c r="W311" i="4"/>
  <c r="Z311" i="4" s="1"/>
  <c r="V311" i="4"/>
  <c r="P323" i="4"/>
  <c r="O323" i="4"/>
  <c r="U290" i="4"/>
  <c r="AC290" i="4"/>
  <c r="AE290" i="4" s="1"/>
  <c r="AF290" i="4" s="1"/>
  <c r="P286" i="4"/>
  <c r="O286" i="4"/>
  <c r="W279" i="4"/>
  <c r="V279" i="4"/>
  <c r="P289" i="4"/>
  <c r="O289" i="4"/>
  <c r="P260" i="4"/>
  <c r="Z260" i="4" s="1"/>
  <c r="O260" i="4"/>
  <c r="AH262" i="4"/>
  <c r="AC262" i="4"/>
  <c r="AE262" i="4" s="1"/>
  <c r="AF262" i="4" s="1"/>
  <c r="U262" i="4"/>
  <c r="X227" i="4"/>
  <c r="W227" i="4"/>
  <c r="V227" i="4"/>
  <c r="W217" i="4"/>
  <c r="Z217" i="4" s="1"/>
  <c r="V217" i="4"/>
  <c r="X217" i="4"/>
  <c r="P245" i="4"/>
  <c r="O245" i="4"/>
  <c r="P228" i="4"/>
  <c r="O228" i="4"/>
  <c r="W205" i="4"/>
  <c r="V205" i="4"/>
  <c r="X205" i="4"/>
  <c r="P210" i="4"/>
  <c r="O210" i="4"/>
  <c r="AC218" i="4"/>
  <c r="AE218" i="4" s="1"/>
  <c r="AF218" i="4" s="1"/>
  <c r="AH218" i="4"/>
  <c r="U218" i="4"/>
  <c r="V178" i="4"/>
  <c r="W178" i="4"/>
  <c r="V162" i="4"/>
  <c r="Y162" i="4" s="1"/>
  <c r="W162" i="4"/>
  <c r="W193" i="4"/>
  <c r="Z193" i="4" s="1"/>
  <c r="V193" i="4"/>
  <c r="X193" i="4"/>
  <c r="V192" i="4"/>
  <c r="W192" i="4"/>
  <c r="Z192" i="4" s="1"/>
  <c r="P155" i="4"/>
  <c r="Z155" i="4" s="1"/>
  <c r="O155" i="4"/>
  <c r="U146" i="4"/>
  <c r="AC146" i="4"/>
  <c r="AC172" i="4"/>
  <c r="AE172" i="4" s="1"/>
  <c r="AF172" i="4" s="1"/>
  <c r="U172" i="4"/>
  <c r="P177" i="4"/>
  <c r="O177" i="4"/>
  <c r="O152" i="4"/>
  <c r="P152" i="4"/>
  <c r="X138" i="4"/>
  <c r="W138" i="4"/>
  <c r="Z138" i="4" s="1"/>
  <c r="V138" i="4"/>
  <c r="P101" i="4"/>
  <c r="O101" i="4"/>
  <c r="W128" i="4"/>
  <c r="Z128" i="4" s="1"/>
  <c r="V128" i="4"/>
  <c r="X128" i="4"/>
  <c r="U73" i="4"/>
  <c r="AC73" i="4"/>
  <c r="AE73" i="4" s="1"/>
  <c r="AF73" i="4" s="1"/>
  <c r="P136" i="4"/>
  <c r="O136" i="4"/>
  <c r="Y136" i="4" s="1"/>
  <c r="P80" i="4"/>
  <c r="O80" i="4"/>
  <c r="Y80" i="4" s="1"/>
  <c r="U30" i="4"/>
  <c r="AC30" i="4"/>
  <c r="AE30" i="4" s="1"/>
  <c r="AF30" i="4" s="1"/>
  <c r="V100" i="4"/>
  <c r="W100" i="4"/>
  <c r="V35" i="4"/>
  <c r="X35" i="4"/>
  <c r="W35" i="4"/>
  <c r="Z35" i="4" s="1"/>
  <c r="O103" i="4"/>
  <c r="P103" i="4"/>
  <c r="P75" i="4"/>
  <c r="Z75" i="4" s="1"/>
  <c r="O75" i="4"/>
  <c r="AC69" i="4"/>
  <c r="AE69" i="4" s="1"/>
  <c r="AF69" i="4" s="1"/>
  <c r="U69" i="4"/>
  <c r="P17" i="4"/>
  <c r="O17" i="4"/>
  <c r="X17" i="4"/>
  <c r="W17" i="4"/>
  <c r="V17" i="4"/>
  <c r="AC390" i="4"/>
  <c r="AE390" i="4" s="1"/>
  <c r="AF390" i="4" s="1"/>
  <c r="AH390" i="4"/>
  <c r="U390" i="4"/>
  <c r="AH397" i="4"/>
  <c r="AC397" i="4"/>
  <c r="AE397" i="4" s="1"/>
  <c r="AF397" i="4" s="1"/>
  <c r="V363" i="4"/>
  <c r="Y363" i="4" s="1"/>
  <c r="W363" i="4"/>
  <c r="Z363" i="4" s="1"/>
  <c r="AH398" i="4"/>
  <c r="AC398" i="4"/>
  <c r="AE398" i="4" s="1"/>
  <c r="AF398" i="4" s="1"/>
  <c r="AH341" i="4"/>
  <c r="AC341" i="4"/>
  <c r="AE341" i="4" s="1"/>
  <c r="AF341" i="4" s="1"/>
  <c r="U341" i="4"/>
  <c r="P387" i="4"/>
  <c r="O387" i="4"/>
  <c r="P378" i="4"/>
  <c r="O378" i="4"/>
  <c r="P350" i="4"/>
  <c r="O350" i="4"/>
  <c r="W358" i="4"/>
  <c r="Z358" i="4" s="1"/>
  <c r="V358" i="4"/>
  <c r="Y358" i="4" s="1"/>
  <c r="W333" i="4"/>
  <c r="Z333" i="4" s="1"/>
  <c r="V333" i="4"/>
  <c r="X333" i="4"/>
  <c r="W304" i="4"/>
  <c r="V304" i="4"/>
  <c r="Y304" i="4" s="1"/>
  <c r="P313" i="4"/>
  <c r="O313" i="4"/>
  <c r="P329" i="4"/>
  <c r="O329" i="4"/>
  <c r="P299" i="4"/>
  <c r="O299" i="4"/>
  <c r="P308" i="4"/>
  <c r="O308" i="4"/>
  <c r="P268" i="4"/>
  <c r="Z268" i="4" s="1"/>
  <c r="O268" i="4"/>
  <c r="P274" i="4"/>
  <c r="Z274" i="4" s="1"/>
  <c r="O274" i="4"/>
  <c r="P229" i="4"/>
  <c r="Z229" i="4" s="1"/>
  <c r="O229" i="4"/>
  <c r="U214" i="4"/>
  <c r="AC214" i="4"/>
  <c r="AE214" i="4" s="1"/>
  <c r="AF214" i="4" s="1"/>
  <c r="AC198" i="4"/>
  <c r="AE198" i="4" s="1"/>
  <c r="AF198" i="4" s="1"/>
  <c r="U198" i="4"/>
  <c r="U203" i="4"/>
  <c r="AH203" i="4"/>
  <c r="AC203" i="4"/>
  <c r="AE203" i="4" s="1"/>
  <c r="AF203" i="4" s="1"/>
  <c r="AC206" i="4"/>
  <c r="AE206" i="4" s="1"/>
  <c r="AF206" i="4" s="1"/>
  <c r="U206" i="4"/>
  <c r="P178" i="4"/>
  <c r="O178" i="4"/>
  <c r="P195" i="4"/>
  <c r="O195" i="4"/>
  <c r="AH146" i="4"/>
  <c r="AH188" i="4"/>
  <c r="AC188" i="4"/>
  <c r="AE188" i="4" s="1"/>
  <c r="AF188" i="4" s="1"/>
  <c r="U188" i="4"/>
  <c r="X152" i="4"/>
  <c r="W152" i="4"/>
  <c r="V152" i="4"/>
  <c r="AC210" i="4"/>
  <c r="AE210" i="4" s="1"/>
  <c r="AF210" i="4" s="1"/>
  <c r="U210" i="4"/>
  <c r="W187" i="4"/>
  <c r="V187" i="4"/>
  <c r="Y187" i="4" s="1"/>
  <c r="X187" i="4"/>
  <c r="P109" i="4"/>
  <c r="O109" i="4"/>
  <c r="Y109" i="4" s="1"/>
  <c r="P100" i="4"/>
  <c r="O100" i="4"/>
  <c r="W120" i="4"/>
  <c r="V120" i="4"/>
  <c r="X120" i="4"/>
  <c r="W126" i="4"/>
  <c r="Z126" i="4" s="1"/>
  <c r="V126" i="4"/>
  <c r="X126" i="4"/>
  <c r="P77" i="4"/>
  <c r="O77" i="4"/>
  <c r="AC127" i="4"/>
  <c r="AE127" i="4" s="1"/>
  <c r="AF127" i="4" s="1"/>
  <c r="U127" i="4"/>
  <c r="AH113" i="4"/>
  <c r="AC113" i="4"/>
  <c r="U113" i="4"/>
  <c r="W112" i="4"/>
  <c r="Z112" i="4" s="1"/>
  <c r="V112" i="4"/>
  <c r="X112" i="4"/>
  <c r="W97" i="4"/>
  <c r="V97" i="4"/>
  <c r="P52" i="4"/>
  <c r="O52" i="4"/>
  <c r="O49" i="4"/>
  <c r="P49" i="4"/>
  <c r="P58" i="4"/>
  <c r="O58" i="4"/>
  <c r="Y58" i="4" s="1"/>
  <c r="U83" i="4"/>
  <c r="AC83" i="4"/>
  <c r="AE83" i="4" s="1"/>
  <c r="AF83" i="4" s="1"/>
  <c r="AH83" i="4"/>
  <c r="W48" i="4"/>
  <c r="X48" i="4"/>
  <c r="V48" i="4"/>
  <c r="AH23" i="4"/>
  <c r="U23" i="4"/>
  <c r="AC23" i="4"/>
  <c r="AE23" i="4" s="1"/>
  <c r="AF23" i="4" s="1"/>
  <c r="P105" i="4"/>
  <c r="Z105" i="4" s="1"/>
  <c r="O105" i="4"/>
  <c r="O39" i="4"/>
  <c r="P39" i="4"/>
  <c r="Z39" i="4" s="1"/>
  <c r="AH26" i="4"/>
  <c r="U26" i="4"/>
  <c r="AC26" i="4"/>
  <c r="AE26" i="4" s="1"/>
  <c r="AF26" i="4" s="1"/>
  <c r="W29" i="4"/>
  <c r="V29" i="4"/>
  <c r="Y29" i="4" s="1"/>
  <c r="AH401" i="4"/>
  <c r="AC401" i="4"/>
  <c r="AE401" i="4" s="1"/>
  <c r="AF401" i="4" s="1"/>
  <c r="AH386" i="4"/>
  <c r="AC386" i="4"/>
  <c r="AE386" i="4" s="1"/>
  <c r="AF386" i="4" s="1"/>
  <c r="U386" i="4"/>
  <c r="AH394" i="4"/>
  <c r="AC394" i="4"/>
  <c r="AE394" i="4" s="1"/>
  <c r="AF394" i="4" s="1"/>
  <c r="P390" i="4"/>
  <c r="O390" i="4"/>
  <c r="M382" i="4"/>
  <c r="N382" i="4"/>
  <c r="V375" i="4"/>
  <c r="Y375" i="4" s="1"/>
  <c r="W375" i="4"/>
  <c r="W362" i="4"/>
  <c r="Z362" i="4" s="1"/>
  <c r="V362" i="4"/>
  <c r="Y362" i="4" s="1"/>
  <c r="AH387" i="4"/>
  <c r="U387" i="4"/>
  <c r="AC387" i="4"/>
  <c r="AE387" i="4" s="1"/>
  <c r="AF387" i="4" s="1"/>
  <c r="O392" i="4"/>
  <c r="P392" i="4"/>
  <c r="P353" i="4"/>
  <c r="O353" i="4"/>
  <c r="U346" i="4"/>
  <c r="AH346" i="4"/>
  <c r="AC346" i="4"/>
  <c r="AE346" i="4" s="1"/>
  <c r="AF346" i="4" s="1"/>
  <c r="P351" i="4"/>
  <c r="O351" i="4"/>
  <c r="X329" i="4"/>
  <c r="W329" i="4"/>
  <c r="V329" i="4"/>
  <c r="V359" i="4"/>
  <c r="Y359" i="4" s="1"/>
  <c r="W359" i="4"/>
  <c r="Z359" i="4" s="1"/>
  <c r="V343" i="4"/>
  <c r="W343" i="4"/>
  <c r="Z343" i="4" s="1"/>
  <c r="X343" i="4"/>
  <c r="P332" i="4"/>
  <c r="O332" i="4"/>
  <c r="W342" i="4"/>
  <c r="V342" i="4"/>
  <c r="Y342" i="4" s="1"/>
  <c r="X342" i="4"/>
  <c r="W309" i="4"/>
  <c r="V309" i="4"/>
  <c r="X309" i="4"/>
  <c r="X306" i="4"/>
  <c r="W306" i="4"/>
  <c r="V306" i="4"/>
  <c r="Y306" i="4" s="1"/>
  <c r="V338" i="4"/>
  <c r="W338" i="4"/>
  <c r="Z338" i="4" s="1"/>
  <c r="X338" i="4"/>
  <c r="X304" i="4"/>
  <c r="W277" i="4"/>
  <c r="V277" i="4"/>
  <c r="W275" i="4"/>
  <c r="V275" i="4"/>
  <c r="Y275" i="4" s="1"/>
  <c r="V313" i="4"/>
  <c r="W313" i="4"/>
  <c r="AH270" i="4"/>
  <c r="AC270" i="4"/>
  <c r="AE270" i="4" s="1"/>
  <c r="AF270" i="4" s="1"/>
  <c r="U270" i="4"/>
  <c r="O262" i="4"/>
  <c r="P262" i="4"/>
  <c r="V228" i="4"/>
  <c r="W228" i="4"/>
  <c r="P249" i="4"/>
  <c r="O249" i="4"/>
  <c r="V238" i="4"/>
  <c r="X238" i="4"/>
  <c r="W238" i="4"/>
  <c r="P227" i="4"/>
  <c r="O227" i="4"/>
  <c r="W234" i="4"/>
  <c r="V234" i="4"/>
  <c r="P213" i="4"/>
  <c r="O213" i="4"/>
  <c r="W226" i="4"/>
  <c r="V226" i="4"/>
  <c r="Y226" i="4" s="1"/>
  <c r="P221" i="4"/>
  <c r="O221" i="4"/>
  <c r="P205" i="4"/>
  <c r="O205" i="4"/>
  <c r="P179" i="4"/>
  <c r="O179" i="4"/>
  <c r="Y179" i="4" s="1"/>
  <c r="O190" i="4"/>
  <c r="P190" i="4"/>
  <c r="Z190" i="4" s="1"/>
  <c r="X162" i="4"/>
  <c r="P145" i="4"/>
  <c r="Z145" i="4" s="1"/>
  <c r="O145" i="4"/>
  <c r="P153" i="4"/>
  <c r="Z153" i="4" s="1"/>
  <c r="O153" i="4"/>
  <c r="P194" i="4"/>
  <c r="O194" i="4"/>
  <c r="O164" i="4"/>
  <c r="P164" i="4"/>
  <c r="W141" i="4"/>
  <c r="V141" i="4"/>
  <c r="V176" i="4"/>
  <c r="Y176" i="4" s="1"/>
  <c r="X176" i="4"/>
  <c r="W176" i="4"/>
  <c r="AH182" i="4"/>
  <c r="AC182" i="4"/>
  <c r="U182" i="4"/>
  <c r="AC119" i="4"/>
  <c r="AE119" i="4" s="1"/>
  <c r="AF119" i="4" s="1"/>
  <c r="U119" i="4"/>
  <c r="P98" i="4"/>
  <c r="O98" i="4"/>
  <c r="V125" i="4"/>
  <c r="Y125" i="4" s="1"/>
  <c r="W125" i="4"/>
  <c r="AC106" i="4"/>
  <c r="AE106" i="4" s="1"/>
  <c r="AF106" i="4" s="1"/>
  <c r="U106" i="4"/>
  <c r="P85" i="4"/>
  <c r="O85" i="4"/>
  <c r="Y85" i="4" s="1"/>
  <c r="O111" i="4"/>
  <c r="P111" i="4"/>
  <c r="P93" i="4"/>
  <c r="O93" i="4"/>
  <c r="P28" i="4"/>
  <c r="O28" i="4"/>
  <c r="Y28" i="4" s="1"/>
  <c r="AC55" i="4"/>
  <c r="AE55" i="4" s="1"/>
  <c r="AF55" i="4" s="1"/>
  <c r="U55" i="4"/>
  <c r="AC77" i="4"/>
  <c r="AE77" i="4" s="1"/>
  <c r="AF77" i="4" s="1"/>
  <c r="U77" i="4"/>
  <c r="W124" i="4"/>
  <c r="V124" i="4"/>
  <c r="Y90" i="4"/>
  <c r="X74" i="4"/>
  <c r="W74" i="4"/>
  <c r="V74" i="4"/>
  <c r="Y74" i="4" s="1"/>
  <c r="V133" i="4"/>
  <c r="W133" i="4"/>
  <c r="X100" i="4"/>
  <c r="P66" i="4"/>
  <c r="O66" i="4"/>
  <c r="P48" i="4"/>
  <c r="O48" i="4"/>
  <c r="P37" i="4"/>
  <c r="O37" i="4"/>
  <c r="P25" i="4"/>
  <c r="O25" i="4"/>
  <c r="X31" i="4"/>
  <c r="W31" i="4"/>
  <c r="V31" i="4"/>
  <c r="X25" i="4"/>
  <c r="W25" i="4"/>
  <c r="V25" i="4"/>
  <c r="U392" i="4"/>
  <c r="AH392" i="4"/>
  <c r="AC392" i="4"/>
  <c r="AE392" i="4" s="1"/>
  <c r="AF392" i="4" s="1"/>
  <c r="W349" i="4"/>
  <c r="V349" i="4"/>
  <c r="Y349" i="4" s="1"/>
  <c r="P336" i="4"/>
  <c r="O336" i="4"/>
  <c r="W319" i="4"/>
  <c r="V319" i="4"/>
  <c r="X319" i="4"/>
  <c r="W317" i="4"/>
  <c r="V317" i="4"/>
  <c r="Y317" i="4" s="1"/>
  <c r="X317" i="4"/>
  <c r="O334" i="4"/>
  <c r="P334" i="4"/>
  <c r="W310" i="4"/>
  <c r="V310" i="4"/>
  <c r="Y310" i="4" s="1"/>
  <c r="O305" i="4"/>
  <c r="Y305" i="4" s="1"/>
  <c r="P305" i="4"/>
  <c r="V289" i="4"/>
  <c r="X289" i="4"/>
  <c r="W289" i="4"/>
  <c r="V288" i="4"/>
  <c r="W288" i="4"/>
  <c r="Z288" i="4" s="1"/>
  <c r="W265" i="4"/>
  <c r="V265" i="4"/>
  <c r="P256" i="4"/>
  <c r="O256" i="4"/>
  <c r="Z263" i="4"/>
  <c r="U237" i="4"/>
  <c r="AC237" i="4"/>
  <c r="AE237" i="4" s="1"/>
  <c r="AF237" i="4" s="1"/>
  <c r="P220" i="4"/>
  <c r="O220" i="4"/>
  <c r="P202" i="4"/>
  <c r="O202" i="4"/>
  <c r="O208" i="4"/>
  <c r="P208" i="4"/>
  <c r="Z208" i="4" s="1"/>
  <c r="P171" i="4"/>
  <c r="Z171" i="4" s="1"/>
  <c r="O171" i="4"/>
  <c r="P161" i="4"/>
  <c r="Z161" i="4" s="1"/>
  <c r="O161" i="4"/>
  <c r="X177" i="4"/>
  <c r="W177" i="4"/>
  <c r="V177" i="4"/>
  <c r="W157" i="4"/>
  <c r="V157" i="4"/>
  <c r="V184" i="4"/>
  <c r="X184" i="4"/>
  <c r="W184" i="4"/>
  <c r="AC108" i="4"/>
  <c r="AE108" i="4" s="1"/>
  <c r="AF108" i="4" s="1"/>
  <c r="U108" i="4"/>
  <c r="O97" i="4"/>
  <c r="P97" i="4"/>
  <c r="AH129" i="4"/>
  <c r="AC129" i="4"/>
  <c r="AE129" i="4" s="1"/>
  <c r="AF129" i="4" s="1"/>
  <c r="U129" i="4"/>
  <c r="O104" i="4"/>
  <c r="P104" i="4"/>
  <c r="P84" i="4"/>
  <c r="O84" i="4"/>
  <c r="U65" i="4"/>
  <c r="AC65" i="4"/>
  <c r="P133" i="4"/>
  <c r="O133" i="4"/>
  <c r="AC107" i="4"/>
  <c r="AE107" i="4" s="1"/>
  <c r="AF107" i="4" s="1"/>
  <c r="U107" i="4"/>
  <c r="AH107" i="4"/>
  <c r="P92" i="4"/>
  <c r="O92" i="4"/>
  <c r="W56" i="4"/>
  <c r="Z56" i="4" s="1"/>
  <c r="X56" i="4"/>
  <c r="V56" i="4"/>
  <c r="P20" i="4"/>
  <c r="Z20" i="4" s="1"/>
  <c r="O20" i="4"/>
  <c r="U92" i="4"/>
  <c r="AC92" i="4"/>
  <c r="AE92" i="4" s="1"/>
  <c r="AF92" i="4" s="1"/>
  <c r="P82" i="4"/>
  <c r="O82" i="4"/>
  <c r="Y82" i="4" s="1"/>
  <c r="V45" i="4"/>
  <c r="W45" i="4"/>
  <c r="Z45" i="4" s="1"/>
  <c r="AC57" i="4"/>
  <c r="AE57" i="4" s="1"/>
  <c r="AF57" i="4" s="1"/>
  <c r="U57" i="4"/>
  <c r="P41" i="4"/>
  <c r="O41" i="4"/>
  <c r="P67" i="4"/>
  <c r="O67" i="4"/>
  <c r="P61" i="4"/>
  <c r="O61" i="4"/>
  <c r="AH15" i="4"/>
  <c r="U15" i="4"/>
  <c r="AC15" i="4"/>
  <c r="AE15" i="4" s="1"/>
  <c r="AF15" i="4" s="1"/>
  <c r="W14" i="4"/>
  <c r="Z14" i="4" s="1"/>
  <c r="V14" i="4"/>
  <c r="U391" i="4"/>
  <c r="AH391" i="4"/>
  <c r="AC391" i="4"/>
  <c r="AE391" i="4" s="1"/>
  <c r="AF391" i="4" s="1"/>
  <c r="V380" i="4"/>
  <c r="X380" i="4"/>
  <c r="W380" i="4"/>
  <c r="P374" i="4"/>
  <c r="O374" i="4"/>
  <c r="O389" i="4"/>
  <c r="P389" i="4"/>
  <c r="W379" i="4"/>
  <c r="V379" i="4"/>
  <c r="P386" i="4"/>
  <c r="O386" i="4"/>
  <c r="AH378" i="4"/>
  <c r="AC378" i="4"/>
  <c r="AE378" i="4" s="1"/>
  <c r="AF378" i="4" s="1"/>
  <c r="U378" i="4"/>
  <c r="N377" i="4"/>
  <c r="M377" i="4"/>
  <c r="U350" i="4"/>
  <c r="AC350" i="4"/>
  <c r="AE350" i="4" s="1"/>
  <c r="AF350" i="4" s="1"/>
  <c r="V335" i="4"/>
  <c r="X335" i="4"/>
  <c r="W335" i="4"/>
  <c r="W325" i="4"/>
  <c r="V325" i="4"/>
  <c r="X325" i="4"/>
  <c r="U355" i="4"/>
  <c r="AC355" i="4"/>
  <c r="AE355" i="4" s="1"/>
  <c r="AF355" i="4" s="1"/>
  <c r="O326" i="4"/>
  <c r="P326" i="4"/>
  <c r="V356" i="4"/>
  <c r="W356" i="4"/>
  <c r="Z356" i="4" s="1"/>
  <c r="O339" i="4"/>
  <c r="P339" i="4"/>
  <c r="W328" i="4"/>
  <c r="V328" i="4"/>
  <c r="AC291" i="4"/>
  <c r="AE291" i="4" s="1"/>
  <c r="AF291" i="4" s="1"/>
  <c r="AH291" i="4"/>
  <c r="U291" i="4"/>
  <c r="X277" i="4"/>
  <c r="P282" i="4"/>
  <c r="O282" i="4"/>
  <c r="X321" i="4"/>
  <c r="W321" i="4"/>
  <c r="Z321" i="4" s="1"/>
  <c r="V321" i="4"/>
  <c r="P281" i="4"/>
  <c r="O281" i="4"/>
  <c r="W272" i="4"/>
  <c r="Z272" i="4" s="1"/>
  <c r="V272" i="4"/>
  <c r="V222" i="4"/>
  <c r="W222" i="4"/>
  <c r="Z222" i="4" s="1"/>
  <c r="Y250" i="4"/>
  <c r="P237" i="4"/>
  <c r="O237" i="4"/>
  <c r="AC215" i="4"/>
  <c r="AE215" i="4" s="1"/>
  <c r="AF215" i="4" s="1"/>
  <c r="AH215" i="4"/>
  <c r="U215" i="4"/>
  <c r="P198" i="4"/>
  <c r="O198" i="4"/>
  <c r="P163" i="4"/>
  <c r="Z163" i="4" s="1"/>
  <c r="O163" i="4"/>
  <c r="AC202" i="4"/>
  <c r="AE202" i="4" s="1"/>
  <c r="AF202" i="4" s="1"/>
  <c r="U202" i="4"/>
  <c r="V186" i="4"/>
  <c r="W186" i="4"/>
  <c r="Z186" i="4" s="1"/>
  <c r="V170" i="4"/>
  <c r="W170" i="4"/>
  <c r="Z170" i="4" s="1"/>
  <c r="X185" i="4"/>
  <c r="W185" i="4"/>
  <c r="V185" i="4"/>
  <c r="AC156" i="4"/>
  <c r="AE156" i="4" s="1"/>
  <c r="AF156" i="4" s="1"/>
  <c r="U156" i="4"/>
  <c r="V154" i="4"/>
  <c r="W154" i="4"/>
  <c r="W150" i="4"/>
  <c r="V150" i="4"/>
  <c r="X150" i="4"/>
  <c r="AH134" i="4"/>
  <c r="U134" i="4"/>
  <c r="AC134" i="4"/>
  <c r="AE134" i="4" s="1"/>
  <c r="AF134" i="4" s="1"/>
  <c r="X160" i="4"/>
  <c r="W160" i="4"/>
  <c r="V160" i="4"/>
  <c r="Y160" i="4" s="1"/>
  <c r="P141" i="4"/>
  <c r="O141" i="4"/>
  <c r="AH156" i="4"/>
  <c r="AH121" i="4"/>
  <c r="AC121" i="4"/>
  <c r="U121" i="4"/>
  <c r="P106" i="4"/>
  <c r="O106" i="4"/>
  <c r="P124" i="4"/>
  <c r="O124" i="4"/>
  <c r="AH106" i="4"/>
  <c r="U79" i="4"/>
  <c r="AC79" i="4"/>
  <c r="O55" i="4"/>
  <c r="P55" i="4"/>
  <c r="O47" i="4"/>
  <c r="P47" i="4"/>
  <c r="P12" i="4"/>
  <c r="O12" i="4"/>
  <c r="W87" i="4"/>
  <c r="Z87" i="4" s="1"/>
  <c r="X87" i="4"/>
  <c r="V87" i="4"/>
  <c r="X45" i="4"/>
  <c r="P36" i="4"/>
  <c r="Z36" i="4" s="1"/>
  <c r="O36" i="4"/>
  <c r="V3" i="4"/>
  <c r="X3" i="4"/>
  <c r="W3" i="4"/>
  <c r="AC111" i="4"/>
  <c r="AE111" i="4" s="1"/>
  <c r="AF111" i="4" s="1"/>
  <c r="U111" i="4"/>
  <c r="U44" i="4"/>
  <c r="AC44" i="4"/>
  <c r="AE44" i="4" s="1"/>
  <c r="AF44" i="4" s="1"/>
  <c r="X96" i="4"/>
  <c r="W96" i="4"/>
  <c r="Z96" i="4" s="1"/>
  <c r="V96" i="4"/>
  <c r="W118" i="4"/>
  <c r="V118" i="4"/>
  <c r="X118" i="4"/>
  <c r="W98" i="4"/>
  <c r="V98" i="4"/>
  <c r="AH73" i="4"/>
  <c r="AC94" i="4"/>
  <c r="AE94" i="4" s="1"/>
  <c r="AF94" i="4" s="1"/>
  <c r="AH94" i="4"/>
  <c r="U94" i="4"/>
  <c r="P44" i="4"/>
  <c r="O44" i="4"/>
  <c r="W13" i="4"/>
  <c r="Z13" i="4" s="1"/>
  <c r="V13" i="4"/>
  <c r="X8" i="4"/>
  <c r="W8" i="4"/>
  <c r="V8" i="4"/>
  <c r="Y8" i="4" s="1"/>
  <c r="O381" i="4"/>
  <c r="P381" i="4"/>
  <c r="W385" i="4"/>
  <c r="V385" i="4"/>
  <c r="X385" i="4"/>
  <c r="X349" i="4"/>
  <c r="U377" i="4"/>
  <c r="AC377" i="4"/>
  <c r="AE377" i="4" s="1"/>
  <c r="AF377" i="4" s="1"/>
  <c r="AH377" i="4"/>
  <c r="P324" i="4"/>
  <c r="O324" i="4"/>
  <c r="U318" i="4"/>
  <c r="AC318" i="4"/>
  <c r="O318" i="4"/>
  <c r="P318" i="4"/>
  <c r="V332" i="4"/>
  <c r="X332" i="4"/>
  <c r="W332" i="4"/>
  <c r="V281" i="4"/>
  <c r="X281" i="4"/>
  <c r="W281" i="4"/>
  <c r="W320" i="4"/>
  <c r="V320" i="4"/>
  <c r="Y320" i="4" s="1"/>
  <c r="U300" i="4"/>
  <c r="AC300" i="4"/>
  <c r="O285" i="4"/>
  <c r="P285" i="4"/>
  <c r="Z285" i="4" s="1"/>
  <c r="AC323" i="4"/>
  <c r="AE323" i="4" s="1"/>
  <c r="AF323" i="4" s="1"/>
  <c r="U323" i="4"/>
  <c r="P294" i="4"/>
  <c r="O294" i="4"/>
  <c r="AC240" i="4"/>
  <c r="AE240" i="4" s="1"/>
  <c r="AF240" i="4" s="1"/>
  <c r="U240" i="4"/>
  <c r="W254" i="4"/>
  <c r="V254" i="4"/>
  <c r="Y254" i="4" s="1"/>
  <c r="W257" i="4"/>
  <c r="Z257" i="4" s="1"/>
  <c r="V257" i="4"/>
  <c r="U249" i="4"/>
  <c r="AC249" i="4"/>
  <c r="W220" i="4"/>
  <c r="V220" i="4"/>
  <c r="AH214" i="4"/>
  <c r="P156" i="4"/>
  <c r="O156" i="4"/>
  <c r="AH174" i="4"/>
  <c r="AC174" i="4"/>
  <c r="AE174" i="4" s="1"/>
  <c r="AF174" i="4" s="1"/>
  <c r="U174" i="4"/>
  <c r="W194" i="4"/>
  <c r="V194" i="4"/>
  <c r="X194" i="4"/>
  <c r="W221" i="4"/>
  <c r="V221" i="4"/>
  <c r="X221" i="4"/>
  <c r="W169" i="4"/>
  <c r="V169" i="4"/>
  <c r="W149" i="4"/>
  <c r="V149" i="4"/>
  <c r="X170" i="4"/>
  <c r="V191" i="4"/>
  <c r="W191" i="4"/>
  <c r="O180" i="4"/>
  <c r="P180" i="4"/>
  <c r="X169" i="4"/>
  <c r="V104" i="4"/>
  <c r="W104" i="4"/>
  <c r="X104" i="4"/>
  <c r="P69" i="4"/>
  <c r="O69" i="4"/>
  <c r="U71" i="4"/>
  <c r="AC71" i="4"/>
  <c r="P4" i="4"/>
  <c r="O4" i="4"/>
  <c r="P53" i="4"/>
  <c r="O53" i="4"/>
  <c r="AC63" i="4"/>
  <c r="AE63" i="4" s="1"/>
  <c r="AF63" i="4" s="1"/>
  <c r="U63" i="4"/>
  <c r="W95" i="4"/>
  <c r="Z95" i="4" s="1"/>
  <c r="X95" i="4"/>
  <c r="V95" i="4"/>
  <c r="V67" i="4"/>
  <c r="X67" i="4"/>
  <c r="W67" i="4"/>
  <c r="W4" i="4"/>
  <c r="V4" i="4"/>
  <c r="W110" i="4"/>
  <c r="Z110" i="4" s="1"/>
  <c r="V110" i="4"/>
  <c r="X110" i="4"/>
  <c r="U7" i="4"/>
  <c r="AC7" i="4"/>
  <c r="AE7" i="4" s="1"/>
  <c r="AF7" i="4" s="1"/>
  <c r="AH7" i="4"/>
  <c r="AC61" i="4"/>
  <c r="AE61" i="4" s="1"/>
  <c r="AF61" i="4" s="1"/>
  <c r="U61" i="4"/>
  <c r="AH10" i="4"/>
  <c r="U10" i="4"/>
  <c r="AC10" i="4"/>
  <c r="W33" i="4"/>
  <c r="Z33" i="4" s="1"/>
  <c r="V33" i="4"/>
  <c r="X16" i="4"/>
  <c r="W16" i="4"/>
  <c r="Z16" i="4" s="1"/>
  <c r="V16" i="4"/>
  <c r="V373" i="4"/>
  <c r="W373" i="4"/>
  <c r="Z373" i="4" s="1"/>
  <c r="N369" i="4"/>
  <c r="M369" i="4"/>
  <c r="X373" i="4"/>
  <c r="X375" i="4"/>
  <c r="AC383" i="4"/>
  <c r="AE383" i="4" s="1"/>
  <c r="AF383" i="4" s="1"/>
  <c r="U383" i="4"/>
  <c r="AH383" i="4"/>
  <c r="U384" i="4"/>
  <c r="AH384" i="4"/>
  <c r="AC384" i="4"/>
  <c r="AE384" i="4" s="1"/>
  <c r="AF384" i="4" s="1"/>
  <c r="V367" i="4"/>
  <c r="Y367" i="4" s="1"/>
  <c r="W367" i="4"/>
  <c r="Z367" i="4" s="1"/>
  <c r="O347" i="4"/>
  <c r="Y347" i="4" s="1"/>
  <c r="P347" i="4"/>
  <c r="X348" i="4"/>
  <c r="W348" i="4"/>
  <c r="Z348" i="4" s="1"/>
  <c r="V348" i="4"/>
  <c r="W353" i="4"/>
  <c r="V353" i="4"/>
  <c r="V314" i="4"/>
  <c r="X314" i="4"/>
  <c r="W314" i="4"/>
  <c r="Z314" i="4" s="1"/>
  <c r="AH290" i="4"/>
  <c r="AC336" i="4"/>
  <c r="AE336" i="4" s="1"/>
  <c r="AF336" i="4" s="1"/>
  <c r="U336" i="4"/>
  <c r="V324" i="4"/>
  <c r="W324" i="4"/>
  <c r="X324" i="4"/>
  <c r="W299" i="4"/>
  <c r="V299" i="4"/>
  <c r="AC282" i="4"/>
  <c r="AE282" i="4" s="1"/>
  <c r="AF282" i="4" s="1"/>
  <c r="U282" i="4"/>
  <c r="Z295" i="4"/>
  <c r="U246" i="4"/>
  <c r="AC246" i="4"/>
  <c r="AE246" i="4" s="1"/>
  <c r="AF246" i="4" s="1"/>
  <c r="V230" i="4"/>
  <c r="W230" i="4"/>
  <c r="Z230" i="4" s="1"/>
  <c r="X219" i="4"/>
  <c r="W219" i="4"/>
  <c r="Z219" i="4" s="1"/>
  <c r="V219" i="4"/>
  <c r="U259" i="4"/>
  <c r="AC259" i="4"/>
  <c r="AE259" i="4" s="1"/>
  <c r="AF259" i="4" s="1"/>
  <c r="AC232" i="4"/>
  <c r="U232" i="4"/>
  <c r="W197" i="4"/>
  <c r="V197" i="4"/>
  <c r="X197" i="4"/>
  <c r="X213" i="4"/>
  <c r="W213" i="4"/>
  <c r="V213" i="4"/>
  <c r="W195" i="4"/>
  <c r="V195" i="4"/>
  <c r="W181" i="4"/>
  <c r="V181" i="4"/>
  <c r="X181" i="4"/>
  <c r="U148" i="4"/>
  <c r="AC148" i="4"/>
  <c r="O137" i="4"/>
  <c r="P137" i="4"/>
  <c r="Z137" i="4" s="1"/>
  <c r="AH166" i="4"/>
  <c r="AC166" i="4"/>
  <c r="AE166" i="4" s="1"/>
  <c r="AF166" i="4" s="1"/>
  <c r="U166" i="4"/>
  <c r="X178" i="4"/>
  <c r="AH148" i="4"/>
  <c r="X125" i="4"/>
  <c r="W165" i="4"/>
  <c r="Z165" i="4" s="1"/>
  <c r="V165" i="4"/>
  <c r="X165" i="4"/>
  <c r="X192" i="4"/>
  <c r="O119" i="4"/>
  <c r="P119" i="4"/>
  <c r="W103" i="4"/>
  <c r="V103" i="4"/>
  <c r="X103" i="4"/>
  <c r="AH127" i="4"/>
  <c r="P116" i="4"/>
  <c r="Z116" i="4" s="1"/>
  <c r="O116" i="4"/>
  <c r="W81" i="4"/>
  <c r="V81" i="4"/>
  <c r="Y81" i="4" s="1"/>
  <c r="AC93" i="4"/>
  <c r="AE93" i="4" s="1"/>
  <c r="AF93" i="4" s="1"/>
  <c r="U93" i="4"/>
  <c r="W47" i="4"/>
  <c r="V47" i="4"/>
  <c r="W101" i="4"/>
  <c r="V101" i="4"/>
  <c r="P91" i="4"/>
  <c r="O91" i="4"/>
  <c r="Y91" i="4" s="1"/>
  <c r="AH65" i="4"/>
  <c r="X32" i="4"/>
  <c r="W32" i="4"/>
  <c r="Z32" i="4" s="1"/>
  <c r="V32" i="4"/>
  <c r="AH119" i="4"/>
  <c r="P72" i="4"/>
  <c r="O72" i="4"/>
  <c r="W21" i="4"/>
  <c r="V21" i="4"/>
  <c r="Y21" i="4" s="1"/>
  <c r="P9" i="4"/>
  <c r="O9" i="4"/>
  <c r="X9" i="4"/>
  <c r="W9" i="4"/>
  <c r="V9" i="4"/>
  <c r="W34" i="4"/>
  <c r="Z34" i="4" s="1"/>
  <c r="V34" i="4"/>
  <c r="AC382" i="4"/>
  <c r="AE382" i="4" s="1"/>
  <c r="AF382" i="4" s="1"/>
  <c r="AH382" i="4"/>
  <c r="U382" i="4"/>
  <c r="N384" i="4"/>
  <c r="M384" i="4"/>
  <c r="O371" i="4"/>
  <c r="P371" i="4"/>
  <c r="V371" i="4"/>
  <c r="W371" i="4"/>
  <c r="W352" i="4"/>
  <c r="V352" i="4"/>
  <c r="AC326" i="4"/>
  <c r="AE326" i="4" s="1"/>
  <c r="AF326" i="4" s="1"/>
  <c r="U326" i="4"/>
  <c r="AC334" i="4"/>
  <c r="U334" i="4"/>
  <c r="U298" i="4"/>
  <c r="AH298" i="4"/>
  <c r="AC298" i="4"/>
  <c r="AE298" i="4" s="1"/>
  <c r="AF298" i="4" s="1"/>
  <c r="P315" i="4"/>
  <c r="O315" i="4"/>
  <c r="P331" i="4"/>
  <c r="Z331" i="4" s="1"/>
  <c r="O331" i="4"/>
  <c r="U315" i="4"/>
  <c r="AC315" i="4"/>
  <c r="AE315" i="4" s="1"/>
  <c r="AF315" i="4" s="1"/>
  <c r="P302" i="4"/>
  <c r="Z302" i="4" s="1"/>
  <c r="O302" i="4"/>
  <c r="W312" i="4"/>
  <c r="V312" i="4"/>
  <c r="P297" i="4"/>
  <c r="O297" i="4"/>
  <c r="Y297" i="4" s="1"/>
  <c r="W269" i="4"/>
  <c r="V269" i="4"/>
  <c r="Y269" i="4" s="1"/>
  <c r="X269" i="4"/>
  <c r="W261" i="4"/>
  <c r="Z261" i="4" s="1"/>
  <c r="V261" i="4"/>
  <c r="X261" i="4"/>
  <c r="V280" i="4"/>
  <c r="W280" i="4"/>
  <c r="Z280" i="4" s="1"/>
  <c r="X280" i="4"/>
  <c r="P265" i="4"/>
  <c r="O265" i="4"/>
  <c r="V266" i="4"/>
  <c r="X266" i="4"/>
  <c r="W266" i="4"/>
  <c r="Z266" i="4" s="1"/>
  <c r="O240" i="4"/>
  <c r="P240" i="4"/>
  <c r="U242" i="4"/>
  <c r="AC242" i="4"/>
  <c r="AE242" i="4" s="1"/>
  <c r="AF242" i="4" s="1"/>
  <c r="O232" i="4"/>
  <c r="P232" i="4"/>
  <c r="P238" i="4"/>
  <c r="O238" i="4"/>
  <c r="O204" i="4"/>
  <c r="P204" i="4"/>
  <c r="W207" i="4"/>
  <c r="Z207" i="4" s="1"/>
  <c r="V207" i="4"/>
  <c r="X207" i="4"/>
  <c r="P149" i="4"/>
  <c r="O149" i="4"/>
  <c r="O140" i="4"/>
  <c r="P140" i="4"/>
  <c r="Z140" i="4" s="1"/>
  <c r="AC180" i="4"/>
  <c r="AE180" i="4" s="1"/>
  <c r="AF180" i="4" s="1"/>
  <c r="U180" i="4"/>
  <c r="V200" i="4"/>
  <c r="Y200" i="4" s="1"/>
  <c r="W200" i="4"/>
  <c r="X200" i="4"/>
  <c r="P185" i="4"/>
  <c r="O185" i="4"/>
  <c r="P146" i="4"/>
  <c r="O146" i="4"/>
  <c r="W173" i="4"/>
  <c r="V173" i="4"/>
  <c r="X173" i="4"/>
  <c r="P154" i="4"/>
  <c r="O154" i="4"/>
  <c r="P201" i="4"/>
  <c r="O201" i="4"/>
  <c r="Y201" i="4" s="1"/>
  <c r="AC164" i="4"/>
  <c r="AE164" i="4" s="1"/>
  <c r="AF164" i="4" s="1"/>
  <c r="U164" i="4"/>
  <c r="P169" i="4"/>
  <c r="O169" i="4"/>
  <c r="V168" i="4"/>
  <c r="X168" i="4"/>
  <c r="W168" i="4"/>
  <c r="P117" i="4"/>
  <c r="O117" i="4"/>
  <c r="V99" i="4"/>
  <c r="W99" i="4"/>
  <c r="Z99" i="4" s="1"/>
  <c r="W86" i="4"/>
  <c r="V86" i="4"/>
  <c r="V53" i="4"/>
  <c r="W53" i="4"/>
  <c r="W40" i="4"/>
  <c r="Z40" i="4" s="1"/>
  <c r="V40" i="4"/>
  <c r="X40" i="4"/>
  <c r="V117" i="4"/>
  <c r="W117" i="4"/>
  <c r="V84" i="4"/>
  <c r="W84" i="4"/>
  <c r="V50" i="4"/>
  <c r="Y50" i="4" s="1"/>
  <c r="X50" i="4"/>
  <c r="W50" i="4"/>
  <c r="U41" i="4"/>
  <c r="AC41" i="4"/>
  <c r="AE41" i="4" s="1"/>
  <c r="AF41" i="4" s="1"/>
  <c r="W52" i="4"/>
  <c r="V52" i="4"/>
  <c r="W12" i="4"/>
  <c r="V12" i="4"/>
  <c r="P31" i="4"/>
  <c r="O31" i="4"/>
  <c r="AH18" i="4"/>
  <c r="U18" i="4"/>
  <c r="AC18" i="4"/>
  <c r="AE18" i="4" s="1"/>
  <c r="AF18" i="4" s="1"/>
  <c r="X24" i="4"/>
  <c r="W24" i="4"/>
  <c r="Z24" i="4" s="1"/>
  <c r="V24" i="4"/>
  <c r="W5" i="4"/>
  <c r="Z5" i="4" s="1"/>
  <c r="V5" i="4"/>
  <c r="W6" i="4"/>
  <c r="Z6" i="4" s="1"/>
  <c r="V6" i="4"/>
  <c r="X21" i="4"/>
  <c r="W22" i="4"/>
  <c r="Z22" i="4" s="1"/>
  <c r="V22" i="4"/>
  <c r="Z211" i="4" l="1"/>
  <c r="Y258" i="4"/>
  <c r="Y285" i="4"/>
  <c r="V389" i="4"/>
  <c r="Y389" i="4" s="1"/>
  <c r="W389" i="4"/>
  <c r="Z389" i="4" s="1"/>
  <c r="Z37" i="4"/>
  <c r="Y145" i="4"/>
  <c r="Y105" i="4"/>
  <c r="Y338" i="4"/>
  <c r="Y327" i="4"/>
  <c r="Z310" i="4"/>
  <c r="Y39" i="4"/>
  <c r="Z264" i="4"/>
  <c r="Y147" i="4"/>
  <c r="Z317" i="4"/>
  <c r="Y264" i="4"/>
  <c r="Y302" i="4"/>
  <c r="Z224" i="4"/>
  <c r="Z196" i="4"/>
  <c r="Y153" i="4"/>
  <c r="Y261" i="4"/>
  <c r="W374" i="4"/>
  <c r="Z374" i="4" s="1"/>
  <c r="Z176" i="4"/>
  <c r="V374" i="4"/>
  <c r="Y374" i="4" s="1"/>
  <c r="Y102" i="4"/>
  <c r="Y186" i="4"/>
  <c r="Y273" i="4"/>
  <c r="Z269" i="4"/>
  <c r="Y208" i="4"/>
  <c r="Z46" i="4"/>
  <c r="Y45" i="4"/>
  <c r="Y295" i="4"/>
  <c r="Y183" i="4"/>
  <c r="Y96" i="4"/>
  <c r="Y321" i="4"/>
  <c r="Z85" i="4"/>
  <c r="Y283" i="4"/>
  <c r="O368" i="4"/>
  <c r="Y368" i="4" s="1"/>
  <c r="Y343" i="4"/>
  <c r="Y288" i="4"/>
  <c r="Y280" i="4"/>
  <c r="Y256" i="4"/>
  <c r="Y34" i="4"/>
  <c r="Y171" i="4"/>
  <c r="Z201" i="4"/>
  <c r="Y373" i="4"/>
  <c r="Y138" i="4"/>
  <c r="Z200" i="4"/>
  <c r="Y59" i="4"/>
  <c r="Y14" i="4"/>
  <c r="Z375" i="4"/>
  <c r="Y193" i="4"/>
  <c r="Z90" i="4"/>
  <c r="Y337" i="4"/>
  <c r="Y132" i="4"/>
  <c r="Y70" i="4"/>
  <c r="Y40" i="4"/>
  <c r="Z78" i="4"/>
  <c r="Y143" i="4"/>
  <c r="Y212" i="4"/>
  <c r="Y76" i="4"/>
  <c r="Y199" i="4"/>
  <c r="Y257" i="4"/>
  <c r="Z28" i="4"/>
  <c r="Z212" i="4"/>
  <c r="Z287" i="4"/>
  <c r="Z254" i="4"/>
  <c r="Y75" i="4"/>
  <c r="Z286" i="4"/>
  <c r="Y225" i="4"/>
  <c r="Y217" i="4"/>
  <c r="Z118" i="4"/>
  <c r="Z162" i="4"/>
  <c r="Y155" i="4"/>
  <c r="Y230" i="4"/>
  <c r="Y356" i="4"/>
  <c r="Z320" i="4"/>
  <c r="Y192" i="4"/>
  <c r="Z347" i="4"/>
  <c r="O385" i="4"/>
  <c r="Y385" i="4" s="1"/>
  <c r="Y56" i="4"/>
  <c r="V361" i="4"/>
  <c r="Y361" i="4" s="1"/>
  <c r="Y184" i="4"/>
  <c r="Z342" i="4"/>
  <c r="Y233" i="4"/>
  <c r="Y266" i="4"/>
  <c r="Z179" i="4"/>
  <c r="Y165" i="4"/>
  <c r="Y279" i="4"/>
  <c r="Y247" i="4"/>
  <c r="Y296" i="4"/>
  <c r="Z275" i="4"/>
  <c r="Z304" i="4"/>
  <c r="Z244" i="4"/>
  <c r="Z248" i="4"/>
  <c r="W381" i="4"/>
  <c r="Z381" i="4" s="1"/>
  <c r="Y333" i="4"/>
  <c r="Z340" i="4"/>
  <c r="Y345" i="4"/>
  <c r="Y239" i="4"/>
  <c r="Y276" i="4"/>
  <c r="Y175" i="4"/>
  <c r="Y322" i="4"/>
  <c r="Z58" i="4"/>
  <c r="Z131" i="4"/>
  <c r="Y72" i="4"/>
  <c r="Z81" i="4"/>
  <c r="Z80" i="4"/>
  <c r="Y316" i="4"/>
  <c r="Y62" i="4"/>
  <c r="Y235" i="4"/>
  <c r="Z319" i="4"/>
  <c r="Z21" i="4"/>
  <c r="Y11" i="4"/>
  <c r="Z209" i="4"/>
  <c r="Y209" i="4"/>
  <c r="Z114" i="4"/>
  <c r="Y51" i="4"/>
  <c r="Y253" i="4"/>
  <c r="Y314" i="4"/>
  <c r="Z226" i="4"/>
  <c r="Y37" i="4"/>
  <c r="Z158" i="4"/>
  <c r="Z352" i="4"/>
  <c r="Z91" i="4"/>
  <c r="Y112" i="4"/>
  <c r="Y207" i="4"/>
  <c r="Z181" i="4"/>
  <c r="Z197" i="4"/>
  <c r="Y163" i="4"/>
  <c r="Z372" i="4"/>
  <c r="Z125" i="4"/>
  <c r="Y42" i="4"/>
  <c r="Z231" i="4"/>
  <c r="P376" i="4"/>
  <c r="Z376" i="4" s="1"/>
  <c r="Y66" i="4"/>
  <c r="Y267" i="4"/>
  <c r="Z88" i="4"/>
  <c r="Y219" i="4"/>
  <c r="Y286" i="4"/>
  <c r="Z292" i="4"/>
  <c r="Z173" i="4"/>
  <c r="Y118" i="4"/>
  <c r="V366" i="4"/>
  <c r="Y366" i="4" s="1"/>
  <c r="Y190" i="4"/>
  <c r="Z29" i="4"/>
  <c r="Y5" i="4"/>
  <c r="Z297" i="4"/>
  <c r="Y32" i="4"/>
  <c r="Y294" i="4"/>
  <c r="Y274" i="4"/>
  <c r="Y130" i="4"/>
  <c r="Z82" i="4"/>
  <c r="Z168" i="4"/>
  <c r="Y99" i="4"/>
  <c r="Z187" i="4"/>
  <c r="Y20" i="4"/>
  <c r="Z370" i="4"/>
  <c r="Y222" i="4"/>
  <c r="Z150" i="4"/>
  <c r="Z256" i="4"/>
  <c r="Z305" i="4"/>
  <c r="Y268" i="4"/>
  <c r="Y158" i="4"/>
  <c r="Z144" i="4"/>
  <c r="Z250" i="4"/>
  <c r="Z72" i="4"/>
  <c r="Y95" i="4"/>
  <c r="Z328" i="4"/>
  <c r="V381" i="4"/>
  <c r="Y381" i="4" s="1"/>
  <c r="Z66" i="4"/>
  <c r="Y135" i="4"/>
  <c r="Z293" i="4"/>
  <c r="Y263" i="4"/>
  <c r="Y128" i="4"/>
  <c r="O370" i="4"/>
  <c r="Y370" i="4" s="1"/>
  <c r="Z109" i="4"/>
  <c r="Y311" i="4"/>
  <c r="Y54" i="4"/>
  <c r="Y60" i="4"/>
  <c r="Y38" i="4"/>
  <c r="Y352" i="4"/>
  <c r="Z309" i="4"/>
  <c r="Y292" i="4"/>
  <c r="Z8" i="4"/>
  <c r="Y265" i="4"/>
  <c r="Y36" i="4"/>
  <c r="Z157" i="4"/>
  <c r="Y33" i="4"/>
  <c r="Z136" i="4"/>
  <c r="Y3" i="4"/>
  <c r="Y229" i="4"/>
  <c r="Z245" i="4"/>
  <c r="Z178" i="4"/>
  <c r="Y6" i="4"/>
  <c r="Y16" i="4"/>
  <c r="Z294" i="4"/>
  <c r="Z50" i="4"/>
  <c r="Z204" i="4"/>
  <c r="Z184" i="4"/>
  <c r="Z349" i="4"/>
  <c r="Z236" i="4"/>
  <c r="Y142" i="4"/>
  <c r="Y204" i="4"/>
  <c r="Y319" i="4"/>
  <c r="Y181" i="4"/>
  <c r="Z252" i="4"/>
  <c r="Z325" i="4"/>
  <c r="Z251" i="4"/>
  <c r="Y35" i="4"/>
  <c r="Y140" i="4"/>
  <c r="Y238" i="4"/>
  <c r="Y197" i="4"/>
  <c r="Y43" i="4"/>
  <c r="Y348" i="4"/>
  <c r="Z141" i="4"/>
  <c r="Z191" i="4"/>
  <c r="Z160" i="4"/>
  <c r="Y48" i="4"/>
  <c r="Y68" i="4"/>
  <c r="Z238" i="4"/>
  <c r="Y86" i="4"/>
  <c r="Y312" i="4"/>
  <c r="Y100" i="4"/>
  <c r="Z123" i="4"/>
  <c r="Z205" i="4"/>
  <c r="Z234" i="4"/>
  <c r="Z216" i="4"/>
  <c r="Z74" i="4"/>
  <c r="Y277" i="4"/>
  <c r="V357" i="4"/>
  <c r="Y357" i="4" s="1"/>
  <c r="W357" i="4"/>
  <c r="Z357" i="4" s="1"/>
  <c r="Y110" i="4"/>
  <c r="Z368" i="4"/>
  <c r="Y13" i="4"/>
  <c r="Z100" i="4"/>
  <c r="Z86" i="4"/>
  <c r="Y325" i="4"/>
  <c r="N1" i="4"/>
  <c r="Y309" i="4"/>
  <c r="Z306" i="4"/>
  <c r="Y271" i="4"/>
  <c r="Y116" i="4"/>
  <c r="Y24" i="4"/>
  <c r="Y87" i="4"/>
  <c r="Z335" i="4"/>
  <c r="Y22" i="4"/>
  <c r="Y335" i="4"/>
  <c r="O372" i="4"/>
  <c r="Y372" i="4" s="1"/>
  <c r="Y328" i="4"/>
  <c r="Y133" i="4"/>
  <c r="Z48" i="4"/>
  <c r="Y149" i="4"/>
  <c r="Y168" i="4"/>
  <c r="Z120" i="4"/>
  <c r="Z308" i="4"/>
  <c r="Z54" i="4"/>
  <c r="Y150" i="4"/>
  <c r="Y227" i="4"/>
  <c r="Y351" i="4"/>
  <c r="Y245" i="4"/>
  <c r="O380" i="4"/>
  <c r="Y380" i="4" s="1"/>
  <c r="P380" i="4"/>
  <c r="Z380" i="4" s="1"/>
  <c r="Y331" i="4"/>
  <c r="Z227" i="4"/>
  <c r="Z49" i="4"/>
  <c r="O388" i="4"/>
  <c r="Y388" i="4" s="1"/>
  <c r="P388" i="4"/>
  <c r="Z388" i="4" s="1"/>
  <c r="M1" i="4"/>
  <c r="Y97" i="4"/>
  <c r="Y49" i="4"/>
  <c r="Y126" i="4"/>
  <c r="Y170" i="4"/>
  <c r="Y260" i="4"/>
  <c r="Y169" i="4"/>
  <c r="Z312" i="4"/>
  <c r="Y137" i="4"/>
  <c r="Y272" i="4"/>
  <c r="Z31" i="4"/>
  <c r="Z169" i="4"/>
  <c r="Y173" i="4"/>
  <c r="Y161" i="4"/>
  <c r="Y117" i="4"/>
  <c r="Z84" i="4"/>
  <c r="Z351" i="4"/>
  <c r="Y194" i="4"/>
  <c r="Z185" i="4"/>
  <c r="Z371" i="4"/>
  <c r="Y120" i="4"/>
  <c r="Y324" i="4"/>
  <c r="Y205" i="4"/>
  <c r="Y31" i="4"/>
  <c r="Z154" i="4"/>
  <c r="Y141" i="4"/>
  <c r="Y308" i="4"/>
  <c r="Z124" i="4"/>
  <c r="AH1" i="4"/>
  <c r="Y104" i="4"/>
  <c r="Y17" i="4"/>
  <c r="Z289" i="4"/>
  <c r="W64" i="4"/>
  <c r="Z64" i="4" s="1"/>
  <c r="V64" i="4"/>
  <c r="Y64" i="4" s="1"/>
  <c r="X64" i="4"/>
  <c r="W364" i="4"/>
  <c r="Z364" i="4" s="1"/>
  <c r="V364" i="4"/>
  <c r="Y364" i="4" s="1"/>
  <c r="V339" i="4"/>
  <c r="Y339" i="4" s="1"/>
  <c r="W339" i="4"/>
  <c r="Z339" i="4" s="1"/>
  <c r="X339" i="4"/>
  <c r="U1" i="4"/>
  <c r="Y53" i="4"/>
  <c r="Y191" i="4"/>
  <c r="Z279" i="4"/>
  <c r="Y9" i="4"/>
  <c r="Z277" i="4"/>
  <c r="Z133" i="4"/>
  <c r="Y4" i="4"/>
  <c r="Z97" i="4"/>
  <c r="Y157" i="4"/>
  <c r="Y234" i="4"/>
  <c r="Y332" i="4"/>
  <c r="Y329" i="4"/>
  <c r="P379" i="4"/>
  <c r="Z379" i="4" s="1"/>
  <c r="O379" i="4"/>
  <c r="Y379" i="4" s="1"/>
  <c r="W151" i="4"/>
  <c r="Z151" i="4" s="1"/>
  <c r="V151" i="4"/>
  <c r="Y151" i="4" s="1"/>
  <c r="X151" i="4"/>
  <c r="W259" i="4"/>
  <c r="Z259" i="4" s="1"/>
  <c r="V259" i="4"/>
  <c r="Y259" i="4" s="1"/>
  <c r="X259" i="4"/>
  <c r="V180" i="4"/>
  <c r="Y180" i="4" s="1"/>
  <c r="W180" i="4"/>
  <c r="Z180" i="4" s="1"/>
  <c r="X180" i="4"/>
  <c r="V326" i="4"/>
  <c r="Y326" i="4" s="1"/>
  <c r="W326" i="4"/>
  <c r="Z326" i="4" s="1"/>
  <c r="X326" i="4"/>
  <c r="V148" i="4"/>
  <c r="Y148" i="4" s="1"/>
  <c r="W148" i="4"/>
  <c r="Z148" i="4" s="1"/>
  <c r="X148" i="4"/>
  <c r="Z53" i="4"/>
  <c r="W300" i="4"/>
  <c r="Z300" i="4" s="1"/>
  <c r="V300" i="4"/>
  <c r="Y300" i="4" s="1"/>
  <c r="X300" i="4"/>
  <c r="Y12" i="4"/>
  <c r="W350" i="4"/>
  <c r="Z350" i="4" s="1"/>
  <c r="V350" i="4"/>
  <c r="Y350" i="4" s="1"/>
  <c r="X350" i="4"/>
  <c r="Y67" i="4"/>
  <c r="W129" i="4"/>
  <c r="Z129" i="4" s="1"/>
  <c r="V129" i="4"/>
  <c r="Y129" i="4" s="1"/>
  <c r="X129" i="4"/>
  <c r="Z194" i="4"/>
  <c r="Z332" i="4"/>
  <c r="V83" i="4"/>
  <c r="Y83" i="4" s="1"/>
  <c r="W83" i="4"/>
  <c r="Z83" i="4" s="1"/>
  <c r="X83" i="4"/>
  <c r="V127" i="4"/>
  <c r="Y127" i="4" s="1"/>
  <c r="W127" i="4"/>
  <c r="Z127" i="4" s="1"/>
  <c r="X127" i="4"/>
  <c r="W188" i="4"/>
  <c r="Z188" i="4" s="1"/>
  <c r="V188" i="4"/>
  <c r="Y188" i="4" s="1"/>
  <c r="X188" i="4"/>
  <c r="Y178" i="4"/>
  <c r="W198" i="4"/>
  <c r="Z198" i="4" s="1"/>
  <c r="V198" i="4"/>
  <c r="Y198" i="4" s="1"/>
  <c r="X198" i="4"/>
  <c r="Y313" i="4"/>
  <c r="Z385" i="4"/>
  <c r="W390" i="4"/>
  <c r="Z390" i="4" s="1"/>
  <c r="V390" i="4"/>
  <c r="Y390" i="4" s="1"/>
  <c r="X390" i="4"/>
  <c r="Z103" i="4"/>
  <c r="V30" i="4"/>
  <c r="Y30" i="4" s="1"/>
  <c r="W30" i="4"/>
  <c r="Z30" i="4" s="1"/>
  <c r="X30" i="4"/>
  <c r="W383" i="4"/>
  <c r="Z383" i="4" s="1"/>
  <c r="V383" i="4"/>
  <c r="Y383" i="4" s="1"/>
  <c r="X383" i="4"/>
  <c r="W336" i="4"/>
  <c r="Z336" i="4" s="1"/>
  <c r="V336" i="4"/>
  <c r="Y336" i="4" s="1"/>
  <c r="X336" i="4"/>
  <c r="V93" i="4"/>
  <c r="Y93" i="4" s="1"/>
  <c r="W93" i="4"/>
  <c r="Z93" i="4" s="1"/>
  <c r="X93" i="4"/>
  <c r="V246" i="4"/>
  <c r="Y246" i="4" s="1"/>
  <c r="W246" i="4"/>
  <c r="Z246" i="4" s="1"/>
  <c r="X246" i="4"/>
  <c r="P369" i="4"/>
  <c r="Z369" i="4" s="1"/>
  <c r="O369" i="4"/>
  <c r="V61" i="4"/>
  <c r="Y61" i="4" s="1"/>
  <c r="W61" i="4"/>
  <c r="Z61" i="4" s="1"/>
  <c r="X61" i="4"/>
  <c r="W377" i="4"/>
  <c r="V377" i="4"/>
  <c r="X377" i="4"/>
  <c r="Z12" i="4"/>
  <c r="W134" i="4"/>
  <c r="Z134" i="4" s="1"/>
  <c r="V134" i="4"/>
  <c r="Y134" i="4" s="1"/>
  <c r="X134" i="4"/>
  <c r="V156" i="4"/>
  <c r="Y156" i="4" s="1"/>
  <c r="W156" i="4"/>
  <c r="Z156" i="4" s="1"/>
  <c r="X156" i="4"/>
  <c r="Z67" i="4"/>
  <c r="V392" i="4"/>
  <c r="Y392" i="4" s="1"/>
  <c r="W392" i="4"/>
  <c r="Z392" i="4" s="1"/>
  <c r="X392" i="4"/>
  <c r="W77" i="4"/>
  <c r="Z77" i="4" s="1"/>
  <c r="V77" i="4"/>
  <c r="Y77" i="4" s="1"/>
  <c r="X77" i="4"/>
  <c r="W182" i="4"/>
  <c r="Z182" i="4" s="1"/>
  <c r="V182" i="4"/>
  <c r="Y182" i="4" s="1"/>
  <c r="X182" i="4"/>
  <c r="Y213" i="4"/>
  <c r="Y353" i="4"/>
  <c r="Y299" i="4"/>
  <c r="Z313" i="4"/>
  <c r="Y103" i="4"/>
  <c r="Z152" i="4"/>
  <c r="W146" i="4"/>
  <c r="Z146" i="4" s="1"/>
  <c r="V146" i="4"/>
  <c r="Y146" i="4" s="1"/>
  <c r="X146" i="4"/>
  <c r="W262" i="4"/>
  <c r="Z262" i="4" s="1"/>
  <c r="V262" i="4"/>
  <c r="Y262" i="4" s="1"/>
  <c r="X262" i="4"/>
  <c r="W41" i="4"/>
  <c r="Z41" i="4" s="1"/>
  <c r="V41" i="4"/>
  <c r="Y41" i="4" s="1"/>
  <c r="X41" i="4"/>
  <c r="O384" i="4"/>
  <c r="P384" i="4"/>
  <c r="W166" i="4"/>
  <c r="Z166" i="4" s="1"/>
  <c r="V166" i="4"/>
  <c r="Y166" i="4" s="1"/>
  <c r="X166" i="4"/>
  <c r="V384" i="4"/>
  <c r="W384" i="4"/>
  <c r="X384" i="4"/>
  <c r="Z4" i="4"/>
  <c r="W323" i="4"/>
  <c r="Z323" i="4" s="1"/>
  <c r="V323" i="4"/>
  <c r="Y323" i="4" s="1"/>
  <c r="X323" i="4"/>
  <c r="V318" i="4"/>
  <c r="Y318" i="4" s="1"/>
  <c r="W318" i="4"/>
  <c r="Z318" i="4" s="1"/>
  <c r="X318" i="4"/>
  <c r="Z47" i="4"/>
  <c r="W215" i="4"/>
  <c r="Z215" i="4" s="1"/>
  <c r="V215" i="4"/>
  <c r="Y215" i="4" s="1"/>
  <c r="X215" i="4"/>
  <c r="P377" i="4"/>
  <c r="O377" i="4"/>
  <c r="W391" i="4"/>
  <c r="Z391" i="4" s="1"/>
  <c r="V391" i="4"/>
  <c r="Y391" i="4" s="1"/>
  <c r="X391" i="4"/>
  <c r="W65" i="4"/>
  <c r="Z65" i="4" s="1"/>
  <c r="V65" i="4"/>
  <c r="Y65" i="4" s="1"/>
  <c r="X65" i="4"/>
  <c r="Y220" i="4"/>
  <c r="Z213" i="4"/>
  <c r="Z353" i="4"/>
  <c r="W210" i="4"/>
  <c r="Z210" i="4" s="1"/>
  <c r="V210" i="4"/>
  <c r="Y210" i="4" s="1"/>
  <c r="X210" i="4"/>
  <c r="Z299" i="4"/>
  <c r="Y152" i="4"/>
  <c r="V111" i="4"/>
  <c r="Y111" i="4" s="1"/>
  <c r="W111" i="4"/>
  <c r="Z111" i="4" s="1"/>
  <c r="X111" i="4"/>
  <c r="W18" i="4"/>
  <c r="Z18" i="4" s="1"/>
  <c r="V18" i="4"/>
  <c r="Y18" i="4" s="1"/>
  <c r="X18" i="4"/>
  <c r="W10" i="4"/>
  <c r="Z10" i="4" s="1"/>
  <c r="V10" i="4"/>
  <c r="Y10" i="4" s="1"/>
  <c r="X10" i="4"/>
  <c r="Y154" i="4"/>
  <c r="Y185" i="4"/>
  <c r="W242" i="4"/>
  <c r="Z242" i="4" s="1"/>
  <c r="V242" i="4"/>
  <c r="Y242" i="4" s="1"/>
  <c r="X242" i="4"/>
  <c r="Z265" i="4"/>
  <c r="Y371" i="4"/>
  <c r="Z9" i="4"/>
  <c r="W63" i="4"/>
  <c r="Z63" i="4" s="1"/>
  <c r="V63" i="4"/>
  <c r="Y63" i="4" s="1"/>
  <c r="X63" i="4"/>
  <c r="W44" i="4"/>
  <c r="Z44" i="4" s="1"/>
  <c r="V44" i="4"/>
  <c r="Y44" i="4" s="1"/>
  <c r="X44" i="4"/>
  <c r="Y47" i="4"/>
  <c r="Y124" i="4"/>
  <c r="W291" i="4"/>
  <c r="Z291" i="4" s="1"/>
  <c r="V291" i="4"/>
  <c r="Y291" i="4" s="1"/>
  <c r="X291" i="4"/>
  <c r="Y84" i="4"/>
  <c r="Z220" i="4"/>
  <c r="Y25" i="4"/>
  <c r="V55" i="4"/>
  <c r="Y55" i="4" s="1"/>
  <c r="W55" i="4"/>
  <c r="Z55" i="4" s="1"/>
  <c r="X55" i="4"/>
  <c r="Y98" i="4"/>
  <c r="W270" i="4"/>
  <c r="Z270" i="4" s="1"/>
  <c r="V270" i="4"/>
  <c r="Y270" i="4" s="1"/>
  <c r="X270" i="4"/>
  <c r="W386" i="4"/>
  <c r="Z386" i="4" s="1"/>
  <c r="V386" i="4"/>
  <c r="Y386" i="4" s="1"/>
  <c r="X386" i="4"/>
  <c r="W206" i="4"/>
  <c r="Z206" i="4" s="1"/>
  <c r="V206" i="4"/>
  <c r="Y206" i="4" s="1"/>
  <c r="X206" i="4"/>
  <c r="Z17" i="4"/>
  <c r="Y101" i="4"/>
  <c r="Y177" i="4"/>
  <c r="Z98" i="4"/>
  <c r="W214" i="4"/>
  <c r="Z214" i="4" s="1"/>
  <c r="V214" i="4"/>
  <c r="Y214" i="4" s="1"/>
  <c r="X214" i="4"/>
  <c r="W341" i="4"/>
  <c r="Z341" i="4" s="1"/>
  <c r="V341" i="4"/>
  <c r="Y341" i="4" s="1"/>
  <c r="X341" i="4"/>
  <c r="W69" i="4"/>
  <c r="Z69" i="4" s="1"/>
  <c r="V69" i="4"/>
  <c r="Y69" i="4" s="1"/>
  <c r="X69" i="4"/>
  <c r="Z101" i="4"/>
  <c r="Z177" i="4"/>
  <c r="W232" i="4"/>
  <c r="Z232" i="4" s="1"/>
  <c r="V232" i="4"/>
  <c r="Y232" i="4" s="1"/>
  <c r="X232" i="4"/>
  <c r="W71" i="4"/>
  <c r="Z71" i="4" s="1"/>
  <c r="V71" i="4"/>
  <c r="Y71" i="4" s="1"/>
  <c r="X71" i="4"/>
  <c r="W202" i="4"/>
  <c r="Z202" i="4" s="1"/>
  <c r="V202" i="4"/>
  <c r="Y202" i="4" s="1"/>
  <c r="X202" i="4"/>
  <c r="W378" i="4"/>
  <c r="Z378" i="4" s="1"/>
  <c r="V378" i="4"/>
  <c r="Y378" i="4" s="1"/>
  <c r="X378" i="4"/>
  <c r="Z149" i="4"/>
  <c r="W315" i="4"/>
  <c r="Z315" i="4" s="1"/>
  <c r="V315" i="4"/>
  <c r="Y315" i="4" s="1"/>
  <c r="X315" i="4"/>
  <c r="W298" i="4"/>
  <c r="Z298" i="4" s="1"/>
  <c r="V298" i="4"/>
  <c r="Y298" i="4" s="1"/>
  <c r="X298" i="4"/>
  <c r="W174" i="4"/>
  <c r="Z174" i="4" s="1"/>
  <c r="V174" i="4"/>
  <c r="Y174" i="4" s="1"/>
  <c r="X174" i="4"/>
  <c r="W240" i="4"/>
  <c r="Z240" i="4" s="1"/>
  <c r="V240" i="4"/>
  <c r="Y240" i="4" s="1"/>
  <c r="X240" i="4"/>
  <c r="Z324" i="4"/>
  <c r="W57" i="4"/>
  <c r="Z57" i="4" s="1"/>
  <c r="V57" i="4"/>
  <c r="Y57" i="4" s="1"/>
  <c r="X57" i="4"/>
  <c r="W107" i="4"/>
  <c r="Z107" i="4" s="1"/>
  <c r="V107" i="4"/>
  <c r="Y107" i="4" s="1"/>
  <c r="X107" i="4"/>
  <c r="V108" i="4"/>
  <c r="Y108" i="4" s="1"/>
  <c r="W108" i="4"/>
  <c r="Z108" i="4" s="1"/>
  <c r="X108" i="4"/>
  <c r="Y221" i="4"/>
  <c r="P382" i="4"/>
  <c r="O382" i="4"/>
  <c r="W26" i="4"/>
  <c r="Z26" i="4" s="1"/>
  <c r="V26" i="4"/>
  <c r="Y26" i="4" s="1"/>
  <c r="X26" i="4"/>
  <c r="W23" i="4"/>
  <c r="Z23" i="4" s="1"/>
  <c r="V23" i="4"/>
  <c r="Y23" i="4" s="1"/>
  <c r="X23" i="4"/>
  <c r="W113" i="4"/>
  <c r="Z113" i="4" s="1"/>
  <c r="V113" i="4"/>
  <c r="Y113" i="4" s="1"/>
  <c r="X113" i="4"/>
  <c r="Y195" i="4"/>
  <c r="Z329" i="4"/>
  <c r="V172" i="4"/>
  <c r="Y172" i="4" s="1"/>
  <c r="W172" i="4"/>
  <c r="Z172" i="4" s="1"/>
  <c r="X172" i="4"/>
  <c r="W218" i="4"/>
  <c r="Z218" i="4" s="1"/>
  <c r="V218" i="4"/>
  <c r="Y218" i="4" s="1"/>
  <c r="X218" i="4"/>
  <c r="Y228" i="4"/>
  <c r="W15" i="4"/>
  <c r="Z15" i="4" s="1"/>
  <c r="V15" i="4"/>
  <c r="Y15" i="4" s="1"/>
  <c r="X15" i="4"/>
  <c r="V92" i="4"/>
  <c r="Y92" i="4" s="1"/>
  <c r="W92" i="4"/>
  <c r="Z92" i="4" s="1"/>
  <c r="X92" i="4"/>
  <c r="Z25" i="4"/>
  <c r="Z117" i="4"/>
  <c r="V164" i="4"/>
  <c r="Y164" i="4" s="1"/>
  <c r="W164" i="4"/>
  <c r="Z164" i="4" s="1"/>
  <c r="X164" i="4"/>
  <c r="W334" i="4"/>
  <c r="Z334" i="4" s="1"/>
  <c r="V334" i="4"/>
  <c r="Y334" i="4" s="1"/>
  <c r="X334" i="4"/>
  <c r="W382" i="4"/>
  <c r="V382" i="4"/>
  <c r="X382" i="4"/>
  <c r="W7" i="4"/>
  <c r="Z7" i="4" s="1"/>
  <c r="V7" i="4"/>
  <c r="Y7" i="4" s="1"/>
  <c r="X7" i="4"/>
  <c r="V249" i="4"/>
  <c r="Y249" i="4" s="1"/>
  <c r="W249" i="4"/>
  <c r="Z249" i="4" s="1"/>
  <c r="X249" i="4"/>
  <c r="W94" i="4"/>
  <c r="Z94" i="4" s="1"/>
  <c r="V94" i="4"/>
  <c r="Y94" i="4" s="1"/>
  <c r="X94" i="4"/>
  <c r="Z3" i="4"/>
  <c r="Y281" i="4"/>
  <c r="Z104" i="4"/>
  <c r="W237" i="4"/>
  <c r="Z237" i="4" s="1"/>
  <c r="V237" i="4"/>
  <c r="Y237" i="4" s="1"/>
  <c r="X237" i="4"/>
  <c r="V119" i="4"/>
  <c r="Y119" i="4" s="1"/>
  <c r="W119" i="4"/>
  <c r="Z119" i="4" s="1"/>
  <c r="X119" i="4"/>
  <c r="Z221" i="4"/>
  <c r="W346" i="4"/>
  <c r="Z346" i="4" s="1"/>
  <c r="V346" i="4"/>
  <c r="Y346" i="4" s="1"/>
  <c r="X346" i="4"/>
  <c r="Y52" i="4"/>
  <c r="Z195" i="4"/>
  <c r="W73" i="4"/>
  <c r="Z73" i="4" s="1"/>
  <c r="V73" i="4"/>
  <c r="Y73" i="4" s="1"/>
  <c r="X73" i="4"/>
  <c r="Z228" i="4"/>
  <c r="Y289" i="4"/>
  <c r="W290" i="4"/>
  <c r="Z290" i="4" s="1"/>
  <c r="V290" i="4"/>
  <c r="Y290" i="4" s="1"/>
  <c r="X290" i="4"/>
  <c r="W344" i="4"/>
  <c r="Z344" i="4" s="1"/>
  <c r="V344" i="4"/>
  <c r="Y344" i="4" s="1"/>
  <c r="X344" i="4"/>
  <c r="W282" i="4"/>
  <c r="Z282" i="4" s="1"/>
  <c r="V282" i="4"/>
  <c r="Y282" i="4" s="1"/>
  <c r="X282" i="4"/>
  <c r="W79" i="4"/>
  <c r="Z79" i="4" s="1"/>
  <c r="V79" i="4"/>
  <c r="Y79" i="4" s="1"/>
  <c r="X79" i="4"/>
  <c r="W121" i="4"/>
  <c r="Z121" i="4" s="1"/>
  <c r="V121" i="4"/>
  <c r="Y121" i="4" s="1"/>
  <c r="X121" i="4"/>
  <c r="Z281" i="4"/>
  <c r="W355" i="4"/>
  <c r="Z355" i="4" s="1"/>
  <c r="V355" i="4"/>
  <c r="Y355" i="4" s="1"/>
  <c r="X355" i="4"/>
  <c r="W106" i="4"/>
  <c r="Z106" i="4" s="1"/>
  <c r="V106" i="4"/>
  <c r="Y106" i="4" s="1"/>
  <c r="X106" i="4"/>
  <c r="W387" i="4"/>
  <c r="Z387" i="4" s="1"/>
  <c r="V387" i="4"/>
  <c r="Y387" i="4" s="1"/>
  <c r="X387" i="4"/>
  <c r="Z52" i="4"/>
  <c r="W203" i="4"/>
  <c r="Z203" i="4" s="1"/>
  <c r="V203" i="4"/>
  <c r="Y203" i="4" s="1"/>
  <c r="X203" i="4"/>
  <c r="Z377" i="4" l="1"/>
  <c r="P1" i="4"/>
  <c r="Y384" i="4"/>
  <c r="X1" i="4"/>
  <c r="Y377" i="4"/>
  <c r="Y369" i="4"/>
  <c r="O1" i="4"/>
  <c r="W1" i="4"/>
  <c r="Y382" i="4"/>
  <c r="Z382" i="4"/>
  <c r="V1" i="4"/>
  <c r="Z384" i="4"/>
  <c r="Z1" i="4" l="1"/>
  <c r="Y1" i="4"/>
  <c r="EB4" i="22" l="1"/>
  <c r="EE4" i="22" s="1"/>
  <c r="J6" i="17" l="1"/>
  <c r="M6" i="17" s="1"/>
  <c r="EF4" i="22"/>
  <c r="EG4" i="22" s="1"/>
  <c r="EH4" i="22" s="1"/>
  <c r="EI4" i="22" s="1"/>
  <c r="EJ4" i="22" s="1"/>
  <c r="EK4" i="22" s="1"/>
  <c r="EL4" i="22" s="1"/>
  <c r="EM4" i="22" s="1"/>
  <c r="EN4" i="22" s="1"/>
  <c r="EO4" i="22" s="1"/>
  <c r="EP4" i="22" s="1"/>
  <c r="EQ4" i="22" s="1"/>
  <c r="ER4" i="22" s="1"/>
  <c r="ES4" i="22" s="1"/>
  <c r="ET4" i="22" s="1"/>
  <c r="EU4" i="22" s="1"/>
  <c r="EV4" i="22" s="1"/>
  <c r="EW4" i="22" s="1"/>
  <c r="EX4" i="22" s="1"/>
  <c r="EY4" i="22" s="1"/>
  <c r="EZ4" i="22" s="1"/>
  <c r="FA4" i="22" s="1"/>
  <c r="FB4" i="22" s="1"/>
  <c r="FC4" i="22" s="1"/>
  <c r="FD4" i="22" s="1"/>
  <c r="FE4" i="22" s="1"/>
  <c r="FF4" i="22" s="1"/>
  <c r="FG4" i="22" s="1"/>
  <c r="FH4" i="22" s="1"/>
  <c r="FI4" i="22" s="1"/>
  <c r="FJ4" i="22" s="1"/>
  <c r="FK4" i="22" s="1"/>
  <c r="FL4" i="22" s="1"/>
  <c r="FM4" i="22" s="1"/>
  <c r="FN4" i="22" s="1"/>
  <c r="FO4" i="22" s="1"/>
  <c r="FP4" i="22" s="1"/>
  <c r="FQ4" i="22" s="1"/>
  <c r="FR4" i="22" s="1"/>
  <c r="FS4" i="22" s="1"/>
  <c r="FT4" i="22" s="1"/>
  <c r="FU4" i="22" s="1"/>
  <c r="FZ4" i="22"/>
  <c r="GA4" i="22" s="1"/>
  <c r="EA4" i="22"/>
  <c r="P6" i="17" l="1"/>
  <c r="B4" i="19"/>
  <c r="L4" i="22"/>
  <c r="GC4" i="22"/>
  <c r="J12" i="22"/>
  <c r="EB12" i="22"/>
  <c r="EE12" i="22" s="1"/>
  <c r="EF12" i="22" s="1"/>
  <c r="EG12" i="22" s="1"/>
  <c r="EH12" i="22" s="1"/>
  <c r="EI12" i="22" s="1"/>
  <c r="EJ12" i="22" s="1"/>
  <c r="EK12" i="22" s="1"/>
  <c r="EL12" i="22" s="1"/>
  <c r="EM12" i="22" s="1"/>
  <c r="EN12" i="22" s="1"/>
  <c r="EO12" i="22" s="1"/>
  <c r="EP12" i="22" s="1"/>
  <c r="EQ12" i="22" s="1"/>
  <c r="ER12" i="22" s="1"/>
  <c r="ES12" i="22" s="1"/>
  <c r="ET12" i="22" s="1"/>
  <c r="EU12" i="22" s="1"/>
  <c r="J8" i="17" l="1"/>
  <c r="M8" i="17" s="1"/>
  <c r="J12" i="16" s="1"/>
  <c r="J1" i="22"/>
  <c r="EV12" i="22"/>
  <c r="EW12" i="22" s="1"/>
  <c r="EX12" i="22" s="1"/>
  <c r="EY12" i="22" s="1"/>
  <c r="EZ12" i="22" s="1"/>
  <c r="FA12" i="22" s="1"/>
  <c r="FB12" i="22" s="1"/>
  <c r="FC12" i="22" s="1"/>
  <c r="FD12" i="22" s="1"/>
  <c r="FE12" i="22" s="1"/>
  <c r="FF12" i="22" s="1"/>
  <c r="FG12" i="22" s="1"/>
  <c r="FH12" i="22" s="1"/>
  <c r="FI12" i="22" s="1"/>
  <c r="FJ12" i="22" s="1"/>
  <c r="FK12" i="22" s="1"/>
  <c r="FL12" i="22" s="1"/>
  <c r="FM12" i="22" s="1"/>
  <c r="FN12" i="22" s="1"/>
  <c r="FO12" i="22" s="1"/>
  <c r="FP12" i="22" s="1"/>
  <c r="FQ12" i="22" s="1"/>
  <c r="FR12" i="22" s="1"/>
  <c r="FS12" i="22" s="1"/>
  <c r="FT12" i="22" s="1"/>
  <c r="FU12" i="22" s="1"/>
  <c r="FZ12" i="22"/>
  <c r="GA12" i="22" s="1"/>
  <c r="EA12" i="22"/>
  <c r="P8" i="17" l="1"/>
  <c r="P70" i="17" s="1"/>
  <c r="B6" i="19"/>
  <c r="J2" i="17"/>
  <c r="H1" i="17" s="1"/>
  <c r="M2" i="17"/>
  <c r="L12" i="22"/>
  <c r="L1" i="22" s="1"/>
  <c r="GC12" i="22"/>
  <c r="GC1" i="22" s="1"/>
  <c r="F1" i="17" l="1"/>
  <c r="B18" i="19" s="1"/>
  <c r="K1" i="17"/>
  <c r="C17" i="19"/>
  <c r="C11" i="19" s="1"/>
  <c r="B9" i="19"/>
  <c r="B3" i="19" s="1"/>
  <c r="I13" i="16"/>
  <c r="L13" i="16" s="1"/>
  <c r="H16" i="16"/>
  <c r="L12" i="16"/>
  <c r="C18" i="19" l="1"/>
  <c r="C9" i="19"/>
  <c r="C3" i="19" s="1"/>
  <c r="H8" i="16"/>
  <c r="I9" i="16" s="1"/>
  <c r="L9" i="16" s="1"/>
  <c r="B17" i="19"/>
  <c r="B11" i="19" s="1"/>
  <c r="K17" i="16"/>
  <c r="L17" i="16" s="1"/>
  <c r="L16" i="16"/>
  <c r="L8" i="16" l="1"/>
  <c r="G6" i="19" l="1"/>
  <c r="G9" i="19" s="1"/>
  <c r="G15" i="19" s="1"/>
  <c r="I6" i="19"/>
  <c r="I9" i="19" s="1"/>
  <c r="I15" i="1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Huyen Ngoc Nguyen</author>
    <author>phuong</author>
  </authors>
  <commentList>
    <comment ref="E2" authorId="0" shapeId="0" xr:uid="{1F8CA3B2-6142-4B08-BF73-E702E0E45A5C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Áp dụng cho TP niêm yết</t>
        </r>
      </text>
    </comment>
    <comment ref="F2" authorId="0" shapeId="0" xr:uid="{FA0197FF-C056-408F-B6F6-9C3A1E6E8F6E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Lãi suất vay/thuê tài chính của DN theo BCTC</t>
        </r>
      </text>
    </comment>
    <comment ref="G2" authorId="0" shapeId="0" xr:uid="{B73162FF-79C9-4BA5-82D0-CC697DF23EFF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Áp dụng cho TCTD, lãi suất huy động tại thời điểm issue TP/CCTG</t>
        </r>
      </text>
    </comment>
    <comment ref="H2" authorId="0" shapeId="0" xr:uid="{E060E20A-BD86-4985-9A8B-55F54C74D0B2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Áp dụng cho TCTD, lãi suất huy động tại thời điểm 31/12/2023</t>
        </r>
      </text>
    </comment>
    <comment ref="AJ2" authorId="1" shapeId="0" xr:uid="{AEBA120E-AD88-45F7-BCAB-AF6170045ECC}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lấy lại ngày
</t>
        </r>
      </text>
    </comment>
    <comment ref="CQ11" authorId="0" shapeId="0" xr:uid="{062DB957-18BD-4793-BD5B-97A49527CB4C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thực tế và cũng bằng tiền lãi tính theo lãi suất 10.1%</t>
        </r>
      </text>
    </comment>
    <comment ref="CR11" authorId="0" shapeId="0" xr:uid="{736C766D-7724-45D4-B88A-DC0E6DE2209E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thực tế và cũng bằng tiền lãi tính theo lãi suất 10.1%</t>
        </r>
      </text>
    </comment>
    <comment ref="DA12" authorId="0" shapeId="0" xr:uid="{5F5B92CC-FDC2-45B0-8DD0-DDDA911AD9CC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trả lãi trong năm</t>
        </r>
      </text>
    </comment>
    <comment ref="DB12" authorId="0" shapeId="0" xr:uid="{B01BB240-544B-4902-BBFB-10558F0302E6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trả lãi trong năm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phuong</author>
    <author>Huyen Ngoc Nguyen</author>
  </authors>
  <commentList>
    <comment ref="Z2" authorId="0" shapeId="0" xr:uid="{34911BEF-0D6F-4084-ABAF-73F4E5FD1A9C}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lấy lại ngày
</t>
        </r>
      </text>
    </comment>
    <comment ref="CG11" authorId="1" shapeId="0" xr:uid="{3318CE40-5DFB-4632-B211-AF5DA7CE9854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thực tế và cũng bằng tiền lãi tính theo lãi suất 10.1%</t>
        </r>
      </text>
    </comment>
    <comment ref="CQ12" authorId="1" shapeId="0" xr:uid="{F9E13AA8-5906-4BF0-A95B-2A8AB77BB94E}">
      <text>
        <r>
          <rPr>
            <b/>
            <sz val="9"/>
            <color indexed="81"/>
            <rFont val="Tahoma"/>
            <family val="2"/>
          </rPr>
          <t>Huyen Ngoc Nguyen:</t>
        </r>
        <r>
          <rPr>
            <sz val="9"/>
            <color indexed="81"/>
            <rFont val="Tahoma"/>
            <family val="2"/>
          </rPr>
          <t xml:space="preserve">
Dựa trên dòng tiền trả lãi trong năm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phuong</author>
  </authors>
  <commentList>
    <comment ref="B182" authorId="0" shapeId="0" xr:uid="{4DB2EDC7-7AFE-4D7A-B44A-5DB39FF2A3AD}">
      <text>
        <r>
          <rPr>
            <b/>
            <sz val="9"/>
            <color indexed="81"/>
            <rFont val="Tahoma"/>
            <family val="2"/>
          </rPr>
          <t>phuong:</t>
        </r>
        <r>
          <rPr>
            <sz val="9"/>
            <color indexed="81"/>
            <rFont val="Tahoma"/>
            <family val="2"/>
          </rPr>
          <t xml:space="preserve">
Khi nào bán nhớ báo chị Linh vì liên quan đến Vina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tc={E2A5EE51-884F-4D66-A106-D48152CC08DD}</author>
    <author>tc={D74D2702-469D-490F-8970-09A198958ED6}</author>
  </authors>
  <commentList>
    <comment ref="G1" authorId="0" shapeId="0" xr:uid="{E2A5EE51-884F-4D66-A106-D48152CC08DD}">
      <text>
        <t>[Threaded comment]
Your version of Excel allows you to read this threaded comment; however, any edits to it will get removed if the file is opened in a newer version of Excel. Learn more: https://go.microsoft.com/fwlink/?linkid=870924
Comment:
    Listed</t>
      </text>
    </comment>
    <comment ref="I1" authorId="1" shapeId="0" xr:uid="{D74D2702-469D-490F-8970-09A198958ED6}">
      <text>
        <t>[Threaded comment]
Your version of Excel allows you to read this threaded comment; however, any edits to it will get removed if the file is opened in a newer version of Excel. Learn more: https://go.microsoft.com/fwlink/?linkid=870924
Comment:
    Unlisted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tc={F1B6F5F1-903A-4351-BE3C-811A69B1A08D}</author>
    <author>tc={859765EC-97F1-4092-967E-F13CCB271B7E}</author>
  </authors>
  <commentList>
    <comment ref="B368" authorId="0" shapeId="0" xr:uid="{F1B6F5F1-903A-4351-BE3C-811A69B1A08D}">
      <text>
        <t>[Threaded comment]
Your version of Excel allows you to read this threaded comment; however, any edits to it will get removed if the file is opened in a newer version of Excel. Learn more: https://go.microsoft.com/fwlink/?linkid=870924
Comment:
    Misa code</t>
      </text>
    </comment>
    <comment ref="G373" authorId="1" shapeId="0" xr:uid="{859765EC-97F1-4092-967E-F13CCB271B7E}">
      <text>
        <t>[Threaded comment]
Your version of Excel allows you to read this threaded comment; however, any edits to it will get removed if the file is opened in a newer version of Excel. Learn more: https://go.microsoft.com/fwlink/?linkid=870924
Comment:
    Nằm tại VNSC, đã được loại ra trước khi lên listing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<sst xmlns="http://schemas.openxmlformats.org/spreadsheetml/2006/main" count="4167" uniqueCount="1059">
  <si>
    <t>Mã Misa</t>
  </si>
  <si>
    <t>Mã TVAM</t>
  </si>
  <si>
    <t>Loại</t>
  </si>
  <si>
    <t>Số lượng TVAM</t>
  </si>
  <si>
    <t>Tổng giá vốn</t>
  </si>
  <si>
    <t>Mệnh giá đơn vị</t>
  </si>
  <si>
    <t>Tổng mệnh giá</t>
  </si>
  <si>
    <t>Lãi suất</t>
  </si>
  <si>
    <t>Ngày bắt đầu</t>
  </si>
  <si>
    <t>Ngày kết thúc</t>
  </si>
  <si>
    <t>Payment term</t>
  </si>
  <si>
    <t>Kỳ trả lãi gần nhất</t>
  </si>
  <si>
    <t>Lãi dự thu</t>
  </si>
  <si>
    <t>BPWH2124001</t>
  </si>
  <si>
    <t>Trái phiếu</t>
  </si>
  <si>
    <t>6 tháng/lần</t>
  </si>
  <si>
    <t>LPB7Y202205</t>
  </si>
  <si>
    <t>Năm</t>
  </si>
  <si>
    <t>MBBL2128004</t>
  </si>
  <si>
    <t>MBBL2128005</t>
  </si>
  <si>
    <t>NVLH2123013.0810</t>
  </si>
  <si>
    <t>TNG122017</t>
  </si>
  <si>
    <t>Quý</t>
  </si>
  <si>
    <t>TTCCH2124003</t>
  </si>
  <si>
    <t>VBA12102</t>
  </si>
  <si>
    <t>VBBL2229001</t>
  </si>
  <si>
    <t>VBBL2229002</t>
  </si>
  <si>
    <t>VND122013</t>
  </si>
  <si>
    <t>Repo đáo hạn</t>
  </si>
  <si>
    <t>VND122014</t>
  </si>
  <si>
    <t>HCVN-CD04-2023</t>
  </si>
  <si>
    <t>Chứng chỉ tiền gửi</t>
  </si>
  <si>
    <t>HCVN-CD06-2023</t>
  </si>
  <si>
    <t>HCVN-CD07-2023</t>
  </si>
  <si>
    <t>MAFC/2023/30</t>
  </si>
  <si>
    <t>MAFC/2023/33</t>
  </si>
  <si>
    <t>HDSAISONCD</t>
  </si>
  <si>
    <t>CDNamABank-30Jun2029</t>
  </si>
  <si>
    <t>EVNFC_RL_KHCL_08.23_003</t>
  </si>
  <si>
    <t>EVNFC_RL_KHCL_08.23_037</t>
  </si>
  <si>
    <t>STT</t>
  </si>
  <si>
    <t>Phần hành</t>
  </si>
  <si>
    <t>Parent/Sub</t>
  </si>
  <si>
    <t>Miêu tả</t>
  </si>
  <si>
    <t>Nợ/Có</t>
  </si>
  <si>
    <t>Mã TK</t>
  </si>
  <si>
    <t>Tên TK</t>
  </si>
  <si>
    <t>Ảnh hưởng đến BS</t>
  </si>
  <si>
    <t>Ảnh hưởng đến PL</t>
  </si>
  <si>
    <t>Tổng điều chỉnh</t>
  </si>
  <si>
    <t>Nợ</t>
  </si>
  <si>
    <t>Có</t>
  </si>
  <si>
    <t>VND</t>
  </si>
  <si>
    <t>PARENT</t>
  </si>
  <si>
    <t>Book lãi dự thu trái phiếu lên đầu gốc thành carrying value</t>
  </si>
  <si>
    <t>Dr</t>
  </si>
  <si>
    <t>1212</t>
  </si>
  <si>
    <t>Cr</t>
  </si>
  <si>
    <t>5151.02</t>
  </si>
  <si>
    <t>(IFRS) Doanh thu lãi tài sản FVTOCI</t>
  </si>
  <si>
    <t>Phân loại lại CCTG sang FVTOCI - vì bản chất vừa trading vừa nhận coupon, khi cần thanh khoản sẽ bán ra</t>
  </si>
  <si>
    <t>1218</t>
  </si>
  <si>
    <t>Chứng chỉ quỹ + Chứng khoán kinh doanh khác</t>
  </si>
  <si>
    <t>Book TP thành amortized cost</t>
  </si>
  <si>
    <t>Đánh giá TP theo Fair value (Gốc + lãi dự thu)</t>
  </si>
  <si>
    <t>OCI2</t>
  </si>
  <si>
    <t>(IFRS) Net change in fair value during the year</t>
  </si>
  <si>
    <t>Hoàn dự thu của trái phiếu năm 2022</t>
  </si>
  <si>
    <t>Finhay 31.12.2023 - IFRS 9 - Amortised cost</t>
  </si>
  <si>
    <t>Do năm trước đã dự thu -&gt; Khi nào thu được tiền thì revert đi.</t>
  </si>
  <si>
    <t>Trong năm 2023 đã thu được tiền lãi và dự thu cho cả năm 2023</t>
  </si>
  <si>
    <t>Công ty</t>
  </si>
  <si>
    <t>Issuer</t>
  </si>
  <si>
    <t>FV at 31.12.2022</t>
  </si>
  <si>
    <t>AC at 31.12.2022</t>
  </si>
  <si>
    <t>Giá trị vốn cuối kỳ at 31.12.2022</t>
  </si>
  <si>
    <t>FV at 31.12.2023</t>
  </si>
  <si>
    <t>AC at 31.12.2023</t>
  </si>
  <si>
    <t>Giá trị vốn cuối kỳ at 31.12.2023</t>
  </si>
  <si>
    <t>Dif (FV-AC)</t>
  </si>
  <si>
    <t>Dif (AC - WAC)</t>
  </si>
  <si>
    <t>CHECK FV</t>
  </si>
  <si>
    <t>CHECK AC</t>
  </si>
  <si>
    <t>Finhay</t>
  </si>
  <si>
    <t>CI</t>
  </si>
  <si>
    <t>CCTG_NamAbank</t>
  </si>
  <si>
    <t>Public offering</t>
  </si>
  <si>
    <t>VNSC</t>
  </si>
  <si>
    <t>BCMbond_20.08</t>
  </si>
  <si>
    <t>Corp</t>
  </si>
  <si>
    <t>Tổng Công ty Đầu tư và Phát triển công nghiệp - CTCP</t>
  </si>
  <si>
    <t>Private offering</t>
  </si>
  <si>
    <t>Repo</t>
  </si>
  <si>
    <t>EVNFC_RL_KHCL_08.23_002</t>
  </si>
  <si>
    <t>VIC121005</t>
  </si>
  <si>
    <t>SHBFC CDs</t>
  </si>
  <si>
    <t>CD</t>
  </si>
  <si>
    <t>EVNFC_RL_KHCL_08.23_008</t>
  </si>
  <si>
    <t>HDBL2128001</t>
  </si>
  <si>
    <t>NVLH2123013</t>
  </si>
  <si>
    <t>PDRH2123003</t>
  </si>
  <si>
    <t>PDRH2123002</t>
  </si>
  <si>
    <t>PDRH2123006</t>
  </si>
  <si>
    <t>2106-03/KBC2021.AB</t>
  </si>
  <si>
    <t>VCB_BOND_RL06_2018_05</t>
  </si>
  <si>
    <t>VCB_BOND_RL06_2018_06</t>
  </si>
  <si>
    <t>VCB_BOND_RL06_2018_09</t>
  </si>
  <si>
    <t>VCB_BOND_RL06_2018_11</t>
  </si>
  <si>
    <t>VCB_BOND_RL06_2018_13</t>
  </si>
  <si>
    <t>VCB_BOND_RL06_2018_14</t>
  </si>
  <si>
    <t>VCB_BOND_RL06_2018_16</t>
  </si>
  <si>
    <t>VCB_BOND_RL06_2018_20</t>
  </si>
  <si>
    <t>VCB_BOND_RL06_2018_21</t>
  </si>
  <si>
    <t>VCB_BOND_RL06_2018_24</t>
  </si>
  <si>
    <t>VCB_BOND_RL06_2018_17</t>
  </si>
  <si>
    <t>VCB_BOND_RL06_2018_12</t>
  </si>
  <si>
    <t>VCB_BOND_RL06_2018_19</t>
  </si>
  <si>
    <t>VCB_BOND_RL06_2018_22</t>
  </si>
  <si>
    <t>BVBL2229004</t>
  </si>
  <si>
    <t>BVBL2229005</t>
  </si>
  <si>
    <t>BVBLH2229001</t>
  </si>
  <si>
    <t>BVBLH2229002</t>
  </si>
  <si>
    <t>VIC121004</t>
  </si>
  <si>
    <t>CCTG2021.02.29</t>
  </si>
  <si>
    <t>CCTG2021.02.38</t>
  </si>
  <si>
    <t>CCTG2021.02.68</t>
  </si>
  <si>
    <t>x</t>
  </si>
  <si>
    <t>Listed/unlisted</t>
  </si>
  <si>
    <t>Giá đóng cửa tại 31/12/2023</t>
  </si>
  <si>
    <t>Borrowing interest</t>
  </si>
  <si>
    <t>Interest rate at issue</t>
  </si>
  <si>
    <t>Interest rate at 31/12/2023</t>
  </si>
  <si>
    <t>Lãi suất CK</t>
  </si>
  <si>
    <t>Fair value</t>
  </si>
  <si>
    <t>AC</t>
  </si>
  <si>
    <t>Dif</t>
  </si>
  <si>
    <t>Giá bán</t>
  </si>
  <si>
    <t>Ngày mua</t>
  </si>
  <si>
    <t>Kỳ trả lãi gần nhất/Purchase date</t>
  </si>
  <si>
    <t>Ngày phát hành</t>
  </si>
  <si>
    <t>Ngày đáo hạn</t>
  </si>
  <si>
    <t>Loại lãi suất</t>
  </si>
  <si>
    <t>Kỳ trả lãi</t>
  </si>
  <si>
    <t>Kỳ trả lãi theo tháng</t>
  </si>
  <si>
    <t>Ngày trả lãi gần nhất/ngày phát hành</t>
  </si>
  <si>
    <t>Lãi dự thu của EY</t>
  </si>
  <si>
    <t>Số kỳ</t>
  </si>
  <si>
    <t>Checking</t>
  </si>
  <si>
    <t>XIRR</t>
  </si>
  <si>
    <t>No.</t>
  </si>
  <si>
    <t>Last amortized period</t>
  </si>
  <si>
    <t>Last amotized date</t>
  </si>
  <si>
    <t>AC at last amortized date</t>
  </si>
  <si>
    <t>Carrying value</t>
  </si>
  <si>
    <t>Unlisted</t>
  </si>
  <si>
    <t>Fixed</t>
  </si>
  <si>
    <t>Bank</t>
  </si>
  <si>
    <t xml:space="preserve"> Float: LSTC + 2.8% </t>
  </si>
  <si>
    <t>Bán trước</t>
  </si>
  <si>
    <t>Float: LSTC + 1.7%</t>
  </si>
  <si>
    <t xml:space="preserve"> Float: LSTC + 1.7% </t>
  </si>
  <si>
    <t>Cuối kỳ</t>
  </si>
  <si>
    <t xml:space="preserve"> Fixed </t>
  </si>
  <si>
    <t>Listed</t>
  </si>
  <si>
    <t>Float: LSTC + 2.7%</t>
  </si>
  <si>
    <t>Float: LSTC + 1.2%</t>
  </si>
  <si>
    <t>Bond/CCTG/TP DN unlisted</t>
  </si>
  <si>
    <t xml:space="preserve">Lãi suất sử dụng để chiết khấu dòng tiền = lãi suất bond - lãi suất huy động của TCTD đó tại thời điểm phát hành (lãi suất tiền gửi của doanh nghiệp 12 tháng) + lãi suất huy động của TCTD đó tại thời điểm 31/12/2023 (lãi suất tiền gửi của doanh nghiệp 12 tháng) </t>
  </si>
  <si>
    <t>TP DN listed</t>
  </si>
  <si>
    <t>Giá gần nhất trong vòng 10 ngày kể từ ngày kết thúc niên độ tại trang HNX</t>
  </si>
  <si>
    <t>Date</t>
  </si>
  <si>
    <t>Value</t>
  </si>
  <si>
    <t>101,5</t>
  </si>
  <si>
    <t>Month</t>
  </si>
  <si>
    <t>Nhà phát hành</t>
  </si>
  <si>
    <t>Sản phẩm</t>
  </si>
  <si>
    <t>Mã TP,CCTG</t>
  </si>
  <si>
    <t>Mệnh giá</t>
  </si>
  <si>
    <t>Số lượng</t>
  </si>
  <si>
    <t>Giá trị</t>
  </si>
  <si>
    <t>Dư giá trị</t>
  </si>
  <si>
    <t>Dư số lượng</t>
  </si>
  <si>
    <t>Giá gốc/TP</t>
  </si>
  <si>
    <t>Lãi/Lỗ</t>
  </si>
  <si>
    <t>Count</t>
  </si>
  <si>
    <t>Vietcombank</t>
  </si>
  <si>
    <t>Term deposit - 12/2022/VCB-TDU (1033313647)</t>
  </si>
  <si>
    <t>HDTG_VCB</t>
  </si>
  <si>
    <t>Term deposit - 13/2022/VCB-TDU (1033313619)</t>
  </si>
  <si>
    <t>Term deposit - 14/2022/VCB-TDU (1033313590)</t>
  </si>
  <si>
    <t>Seabank</t>
  </si>
  <si>
    <t>HDTG_Seabank</t>
  </si>
  <si>
    <t>Term deposit - SEAB20221215/101/01</t>
  </si>
  <si>
    <t>Term deposit - SEAB20221215/101/02</t>
  </si>
  <si>
    <t>Term deposit - SEAB20221215/101/03</t>
  </si>
  <si>
    <t>BIDV</t>
  </si>
  <si>
    <t>BIDV08122022</t>
  </si>
  <si>
    <t>HDTG_BIDV</t>
  </si>
  <si>
    <t>BIDV09122022</t>
  </si>
  <si>
    <t>NamABank</t>
  </si>
  <si>
    <t>HDTG_NamAbank</t>
  </si>
  <si>
    <t>Term depoit - NAB09012023</t>
  </si>
  <si>
    <t>Term depoit - NAB11012023</t>
  </si>
  <si>
    <t>BIDV12122022</t>
  </si>
  <si>
    <t>Techcombank</t>
  </si>
  <si>
    <t>HDTG_TCB</t>
  </si>
  <si>
    <t>Term deposit - TCB12012023</t>
  </si>
  <si>
    <t>BIDV13122022</t>
  </si>
  <si>
    <t>VPBank</t>
  </si>
  <si>
    <t>HDTG_VPB</t>
  </si>
  <si>
    <t>Term deposit - VPB13012023</t>
  </si>
  <si>
    <t>BIDV14122022</t>
  </si>
  <si>
    <t>HDTG_Seabank_01</t>
  </si>
  <si>
    <t>Term deposit - SEAB20221216/101/01</t>
  </si>
  <si>
    <t>Vietcredit</t>
  </si>
  <si>
    <t>CCTG_VietCredit</t>
  </si>
  <si>
    <t>KBC2</t>
  </si>
  <si>
    <t>Vingroup</t>
  </si>
  <si>
    <t>TP</t>
  </si>
  <si>
    <t>TP_VIC</t>
  </si>
  <si>
    <t>Vietbank</t>
  </si>
  <si>
    <t>HDTG_Vietbank</t>
  </si>
  <si>
    <t>VBB2261711</t>
  </si>
  <si>
    <t>VBB2261714</t>
  </si>
  <si>
    <t>VBB2261719</t>
  </si>
  <si>
    <t>Term deposit - VPB16012023</t>
  </si>
  <si>
    <t>PDR</t>
  </si>
  <si>
    <t>Term depoit - NAB18012023</t>
  </si>
  <si>
    <t>Term deposit - VPB18012023</t>
  </si>
  <si>
    <t>Term deposit - VPB30012023</t>
  </si>
  <si>
    <t>CCTG2021.02.39</t>
  </si>
  <si>
    <t>Term deposit- 23-HĐTG/2023/T.ĐINH</t>
  </si>
  <si>
    <t>Term deposit- 21-HĐTG/2023/T.ĐINH</t>
  </si>
  <si>
    <t>Term deposit - VBB31012023</t>
  </si>
  <si>
    <t>Term deposit - 000002309442</t>
  </si>
  <si>
    <t>Term deposit - 000002309541</t>
  </si>
  <si>
    <t>Term deposit - 000002309551</t>
  </si>
  <si>
    <t>BVB</t>
  </si>
  <si>
    <t>nhận coupon</t>
  </si>
  <si>
    <t>000002936099</t>
  </si>
  <si>
    <t>000002936090</t>
  </si>
  <si>
    <t>000002936242</t>
  </si>
  <si>
    <t>000002936112</t>
  </si>
  <si>
    <t>000002936108</t>
  </si>
  <si>
    <t>000002936105</t>
  </si>
  <si>
    <t>Term deposit - VBB01022023</t>
  </si>
  <si>
    <t>Term deposit - VBB02022023</t>
  </si>
  <si>
    <t>Term deposit - NAB03022023</t>
  </si>
  <si>
    <t>Term deposit - NAB21022023</t>
  </si>
  <si>
    <t>Term deposit - NAB22022023</t>
  </si>
  <si>
    <t>BPW</t>
  </si>
  <si>
    <t>000002313039</t>
  </si>
  <si>
    <t>Eximbank</t>
  </si>
  <si>
    <t>HDTG_Eximbank</t>
  </si>
  <si>
    <t>EIB02032023</t>
  </si>
  <si>
    <t>EIB03032023</t>
  </si>
  <si>
    <t>Term deposit - SEAB06032023</t>
  </si>
  <si>
    <t>EIB31032023</t>
  </si>
  <si>
    <t>EIB06042023</t>
  </si>
  <si>
    <t>SEAB06042023</t>
  </si>
  <si>
    <t>EIB07042023</t>
  </si>
  <si>
    <t>CTCP Thoát nước Bình Phước</t>
  </si>
  <si>
    <t>Viet Capital Bank</t>
  </si>
  <si>
    <t>CTCP Đầu tư và Thương mại TNG</t>
  </si>
  <si>
    <t>EIB17042023</t>
  </si>
  <si>
    <t>Term deposit - VPB17042023</t>
  </si>
  <si>
    <t>MBB</t>
  </si>
  <si>
    <t>Sacombank</t>
  </si>
  <si>
    <t>HDTG_Sacombank</t>
  </si>
  <si>
    <t>STB04052023</t>
  </si>
  <si>
    <t>STB08052023</t>
  </si>
  <si>
    <t>CTCP Phát triển BĐS Phát Đạt (PDR)</t>
  </si>
  <si>
    <t>HDBank</t>
  </si>
  <si>
    <t>Home Credit</t>
  </si>
  <si>
    <t>STB26052023</t>
  </si>
  <si>
    <t>STB30052023</t>
  </si>
  <si>
    <t>STB31052023</t>
  </si>
  <si>
    <t>STB01062023</t>
  </si>
  <si>
    <t>STB02062023</t>
  </si>
  <si>
    <t>MBBL2128008</t>
  </si>
  <si>
    <t>Term deposit - SEAB20221216/101/02</t>
  </si>
  <si>
    <t>Term deposit - 317/HDTG/2022.C.GIAY</t>
  </si>
  <si>
    <t>Term deposit - SEAB20221220/101/01</t>
  </si>
  <si>
    <t>Term deposit - SEAB20221221/101/02</t>
  </si>
  <si>
    <t>Term deposit - SEAB20221222/101/01</t>
  </si>
  <si>
    <t>Term deposit - SEAB20221222/101/02</t>
  </si>
  <si>
    <t>Term deposit - SEAB20221223/101/01</t>
  </si>
  <si>
    <t>060303921128</t>
  </si>
  <si>
    <t>060303921071</t>
  </si>
  <si>
    <t>Tổng Công Ty Phát Triển Đô Thị Kinh Bắc</t>
  </si>
  <si>
    <t>CD NamABank</t>
  </si>
  <si>
    <t>STB03072023.12M</t>
  </si>
  <si>
    <t>STB03072023.15M</t>
  </si>
  <si>
    <t>NAB05072023</t>
  </si>
  <si>
    <t>Mirae Asset Finance</t>
  </si>
  <si>
    <t>CCTG_Mirae</t>
  </si>
  <si>
    <t>HD SAISON</t>
  </si>
  <si>
    <t>CCTG_HD SAIGON</t>
  </si>
  <si>
    <t>TTCH</t>
  </si>
  <si>
    <t>HDTG_Viet Capital Bank</t>
  </si>
  <si>
    <t>BVB11072023</t>
  </si>
  <si>
    <t>BVB12072023_01</t>
  </si>
  <si>
    <t>BVB12072023_02</t>
  </si>
  <si>
    <t>BVB17072023</t>
  </si>
  <si>
    <t>VPB17072023</t>
  </si>
  <si>
    <t>VPB18072023_01</t>
  </si>
  <si>
    <t>VPB18072023_02</t>
  </si>
  <si>
    <t>VPB18072023_03</t>
  </si>
  <si>
    <t>VPB20072023</t>
  </si>
  <si>
    <t>EVNF</t>
  </si>
  <si>
    <t>CCTG_EVFN</t>
  </si>
  <si>
    <t>EVNFC_RL_KHCL_08.23_005</t>
  </si>
  <si>
    <t>TP_VCB_FI</t>
  </si>
  <si>
    <t>VCB_BOND_RL06_2018_02</t>
  </si>
  <si>
    <t>VCB_BOND_RL06_2018_04</t>
  </si>
  <si>
    <t>VCB_BOND_RL06_2018_10</t>
  </si>
  <si>
    <t>Vietinbank</t>
  </si>
  <si>
    <t>CTG121030</t>
  </si>
  <si>
    <t>Term deposit - NAB0809023</t>
  </si>
  <si>
    <t>806198392300005</t>
  </si>
  <si>
    <t>806198392300007</t>
  </si>
  <si>
    <t>806198392300006</t>
  </si>
  <si>
    <t>806198392300008</t>
  </si>
  <si>
    <t>806198392300009</t>
  </si>
  <si>
    <t>806198392300011</t>
  </si>
  <si>
    <t>806198392300010</t>
  </si>
  <si>
    <t xml:space="preserve">HCVN-CD06-2023 </t>
  </si>
  <si>
    <t>NOVALAND</t>
  </si>
  <si>
    <t>NamABank-TD28Aug2024-01</t>
  </si>
  <si>
    <t>NamABank-TD28Aug2024-02</t>
  </si>
  <si>
    <t>SacombankBinhTay-19Aug2024</t>
  </si>
  <si>
    <t>Ngân hàng TMCP Bưu Điện Liên Việt</t>
  </si>
  <si>
    <t>TP_LPB</t>
  </si>
  <si>
    <t>294/HDTG/2023/C.GIAY</t>
  </si>
  <si>
    <t>295/HDTG/2023/C.GIAY</t>
  </si>
  <si>
    <t>296/HDTG/2023/C.GIAY</t>
  </si>
  <si>
    <t>297/HDTG/2023/C.GIAY</t>
  </si>
  <si>
    <t>298/HDTG/2023/C.GIAY</t>
  </si>
  <si>
    <t>299/HDTG/2023/C.GIAY</t>
  </si>
  <si>
    <t>300/HDTG/2023/C.GIAY</t>
  </si>
  <si>
    <t>301/HDTG/2023/C.GIAY</t>
  </si>
  <si>
    <t>Agribank</t>
  </si>
  <si>
    <t>TP_Agribank</t>
  </si>
  <si>
    <t>VNDirect</t>
  </si>
  <si>
    <t>HMV</t>
  </si>
  <si>
    <t>NamABank-TD29Jan2024-01</t>
  </si>
  <si>
    <t>NamABank-TD29Jan2024-02</t>
  </si>
  <si>
    <t>NamABank-TD29Jan2024-03</t>
  </si>
  <si>
    <t>31/12/2023
VND</t>
  </si>
  <si>
    <t>31/12/2022
VND</t>
  </si>
  <si>
    <t>Level 1
VND</t>
  </si>
  <si>
    <t>Level 2
VND</t>
  </si>
  <si>
    <t>Level 3
VND</t>
  </si>
  <si>
    <t>Total
VND</t>
  </si>
  <si>
    <t>Bonds</t>
  </si>
  <si>
    <t>Financial assets at FVTPL</t>
  </si>
  <si>
    <t>Bonds issued by local credit institutions</t>
  </si>
  <si>
    <t>Fund certificates</t>
  </si>
  <si>
    <t>Securities</t>
  </si>
  <si>
    <t>Financial assets at FVTOCI</t>
  </si>
  <si>
    <t>Certificates of deposit</t>
  </si>
  <si>
    <t>Other bonds</t>
  </si>
  <si>
    <t>Total financial assets</t>
  </si>
  <si>
    <t>Bonds issued by local economics entities</t>
  </si>
  <si>
    <t>Financial liabilities at FVTPL</t>
  </si>
  <si>
    <t>Total financial liabilities</t>
  </si>
  <si>
    <t>Certificate of deposits</t>
  </si>
  <si>
    <t>Allowance for expected credit loss</t>
  </si>
  <si>
    <t>KBC121020</t>
  </si>
  <si>
    <t>KBC-Public offering-CORPBOND</t>
  </si>
  <si>
    <t>CORPBOND</t>
  </si>
  <si>
    <t>Vietcombank-Private offering-TIER2</t>
  </si>
  <si>
    <t>TIER2</t>
  </si>
  <si>
    <t>PDR-Private offering-CORPBOND</t>
  </si>
  <si>
    <t>Vingroup-Public offering-CORPBOND</t>
  </si>
  <si>
    <t>HDB2027_03</t>
  </si>
  <si>
    <t>HDBank-Public offering-TIER2</t>
  </si>
  <si>
    <t>TTC-Private offering-CORPBOND</t>
  </si>
  <si>
    <t>VietCapitalBank-Private offering-TIER2</t>
  </si>
  <si>
    <t>Vietbank-Private offering-TIER2</t>
  </si>
  <si>
    <t>-</t>
  </si>
  <si>
    <t>NVL-Private offering-CORPBOND</t>
  </si>
  <si>
    <t>BPW-Private offering-CORPBOND</t>
  </si>
  <si>
    <t>HDBank-Private offering-TIER2</t>
  </si>
  <si>
    <t>TNG-Public offering-CORPBOND</t>
  </si>
  <si>
    <t>MBBank-Private offering-TIER2</t>
  </si>
  <si>
    <t>TVGF3</t>
  </si>
  <si>
    <t>TVAM-FUND</t>
  </si>
  <si>
    <t>FUND</t>
  </si>
  <si>
    <t>LISTED</t>
  </si>
  <si>
    <t>TVGF4</t>
  </si>
  <si>
    <t>Term deposit - BIDV08122022</t>
  </si>
  <si>
    <t>BIDV-Term deposit</t>
  </si>
  <si>
    <t>Term deposit</t>
  </si>
  <si>
    <t>Term deposit - BIDV09122022</t>
  </si>
  <si>
    <t>Term deposit - BIDV12122022</t>
  </si>
  <si>
    <t>Term deposit - BIDV13122022</t>
  </si>
  <si>
    <t>Term deposit - BIDV14122022</t>
  </si>
  <si>
    <t>Term deposit - SEAB16122022.1M</t>
  </si>
  <si>
    <t>SEABank-Term deposit</t>
  </si>
  <si>
    <t>Term deposit - NAB15122022</t>
  </si>
  <si>
    <t>NamABank-Term deposit</t>
  </si>
  <si>
    <t>Term deposit - SEAB16122022.6M</t>
  </si>
  <si>
    <t>Term deposit - SEAB20122022.6M</t>
  </si>
  <si>
    <t>Term deposit - SEAB21122022.6M</t>
  </si>
  <si>
    <t>Term deposit - SEAB22122022.6M</t>
  </si>
  <si>
    <t>Vietcredit-Consumer Finance CD</t>
  </si>
  <si>
    <t>Consumer Finance CD</t>
  </si>
  <si>
    <t>SEAB20220512/101/12,13,14,17,18,19</t>
  </si>
  <si>
    <t>SEAB20220516/101/02</t>
  </si>
  <si>
    <t>SEAB20220526/101/01</t>
  </si>
  <si>
    <t>SEAB20220527/101/01</t>
  </si>
  <si>
    <t>SEAB20220512/101/15</t>
  </si>
  <si>
    <t>SEAB20220512/101/16</t>
  </si>
  <si>
    <t>SEAB20220530/101/02</t>
  </si>
  <si>
    <t>SEAB20220530/101/03</t>
  </si>
  <si>
    <t>SEAB20220530/101/04</t>
  </si>
  <si>
    <t>SEAB20220530/101/05</t>
  </si>
  <si>
    <t>SEAB20220530/101/06</t>
  </si>
  <si>
    <t>SEAB20220530/101/07</t>
  </si>
  <si>
    <t>SEAB20220613/101/04</t>
  </si>
  <si>
    <t>SEAB20220511/101/09</t>
  </si>
  <si>
    <t>0254/081222/HÐTG/SHB.130900</t>
  </si>
  <si>
    <t>SHB-Term deposit</t>
  </si>
  <si>
    <t>942/2022/42733</t>
  </si>
  <si>
    <t>Vietinbank-Term deposit</t>
  </si>
  <si>
    <t>Term deposit - SEAB23122022.6M</t>
  </si>
  <si>
    <t>Vietcombank-Term deposit</t>
  </si>
  <si>
    <t>CDMB-200121.03</t>
  </si>
  <si>
    <t>MBBank-Bank CD</t>
  </si>
  <si>
    <t>Bank CD</t>
  </si>
  <si>
    <t>SEAB20221215/101/01</t>
  </si>
  <si>
    <t>SEAB20221215/101/02</t>
  </si>
  <si>
    <t>SEAB20221215/101/03</t>
  </si>
  <si>
    <t>NAB09012023</t>
  </si>
  <si>
    <t>NAB11012023</t>
  </si>
  <si>
    <t>Vietinbank11-onlineTD11012023</t>
  </si>
  <si>
    <t>BIDVHathanh-onlineTD18012023</t>
  </si>
  <si>
    <t>TCB12012022</t>
  </si>
  <si>
    <t>Techcombank-Term deposit</t>
  </si>
  <si>
    <t>VPBank-Term deposit</t>
  </si>
  <si>
    <t>Term deposit - VBB2261711</t>
  </si>
  <si>
    <t>Vietbank-Term deposit</t>
  </si>
  <si>
    <t>Term deposit - VBB2261714</t>
  </si>
  <si>
    <t>Term deposit - VBB2261719</t>
  </si>
  <si>
    <t>Vietinbank11-TD16012023</t>
  </si>
  <si>
    <t>942/2022/42733_16Mar2023</t>
  </si>
  <si>
    <t>NAB18012023</t>
  </si>
  <si>
    <t>VPB18012023</t>
  </si>
  <si>
    <t>23-HÐTG/2023/T.ÐINH</t>
  </si>
  <si>
    <t>21-HÐTG/2023/T.ÐINH</t>
  </si>
  <si>
    <t>VPBank-TD30Jan</t>
  </si>
  <si>
    <t>VBB31012023</t>
  </si>
  <si>
    <t>VBB - 000002309442</t>
  </si>
  <si>
    <t>VBB - 000002309541</t>
  </si>
  <si>
    <t>VBB - 000002309551</t>
  </si>
  <si>
    <t>VBB-000002936099</t>
  </si>
  <si>
    <t>VBB-000002936090</t>
  </si>
  <si>
    <t>VBB-000002936242</t>
  </si>
  <si>
    <t>VBB-000002936112</t>
  </si>
  <si>
    <t>VBB-000002936108</t>
  </si>
  <si>
    <t>VBB-000002936105</t>
  </si>
  <si>
    <t>Repo-Kafi-Homecredit-03Feb</t>
  </si>
  <si>
    <t>Kafi-Repo</t>
  </si>
  <si>
    <t>Vietinbank_BaDinh-TD16Mar2023</t>
  </si>
  <si>
    <t>Repo-SSI-Homecredit-15Mar2023</t>
  </si>
  <si>
    <t>SSI-Repo</t>
  </si>
  <si>
    <t>NamABank-TD21Feb2023</t>
  </si>
  <si>
    <t>NamABank-TD22Feb2023</t>
  </si>
  <si>
    <t>Vietinbank11-TD23032023</t>
  </si>
  <si>
    <t>Vietinbank11-TD28032023</t>
  </si>
  <si>
    <t>EIB_SaiGon_TD02Sep2023</t>
  </si>
  <si>
    <t>Eximbank-Term deposit</t>
  </si>
  <si>
    <t>EIB_SaiGon_TD03Sep2023</t>
  </si>
  <si>
    <t>Seabank_TD06Sep2023</t>
  </si>
  <si>
    <t>Repo-Kafi-Homecredit-13Apr</t>
  </si>
  <si>
    <t>NamABank-TD17Apr2023</t>
  </si>
  <si>
    <t>942/2022/42733_23Apr2023</t>
  </si>
  <si>
    <t>Vietinbank11-TD23042023</t>
  </si>
  <si>
    <t>Vietinbank_BaDinh-TD16Apr2023</t>
  </si>
  <si>
    <t>EIB_SaiGon_TD02Oct2023</t>
  </si>
  <si>
    <t>EIB_SaiGon_TD06Oct2023</t>
  </si>
  <si>
    <t>Seabank_TD06Oct2023</t>
  </si>
  <si>
    <t>EIB_SaiGon_TD09Oct2023</t>
  </si>
  <si>
    <t>NamABank-TD15May2023</t>
  </si>
  <si>
    <t>EIB_SaiGon_TD17Oct2023</t>
  </si>
  <si>
    <t>VPB_TD17Oct2023</t>
  </si>
  <si>
    <t>Repo-SSI-Homecredit-18May2023</t>
  </si>
  <si>
    <t>Vietinbank_BaDinh-TD24May2023</t>
  </si>
  <si>
    <t>Vietinbank11-TD25May2023</t>
  </si>
  <si>
    <t>SacombankDongDo-TD4May2023</t>
  </si>
  <si>
    <t>Sacombank-Term deposit</t>
  </si>
  <si>
    <t>SacombankDongDo-TD8May2023</t>
  </si>
  <si>
    <t>NamABank-TD15Jun2023</t>
  </si>
  <si>
    <t>VPB_TD15Nov2023</t>
  </si>
  <si>
    <t>Vietinbank11-TD12Jun2023</t>
  </si>
  <si>
    <t>NVLH2123013-extended</t>
  </si>
  <si>
    <t>PDRH2123002-extended</t>
  </si>
  <si>
    <t>PDRH2123003-extended</t>
  </si>
  <si>
    <t>VPB_TD16Nov2023</t>
  </si>
  <si>
    <t>VPB_TD20Nov2023</t>
  </si>
  <si>
    <t>NamABank_TD24May2023</t>
  </si>
  <si>
    <t>Repo-Pinetree-Vietinbank-24May2023</t>
  </si>
  <si>
    <t>Pinetree-Repo</t>
  </si>
  <si>
    <t>Homecredit-Consumer Finance CD</t>
  </si>
  <si>
    <t>SacombankBinhTay-26Jun2024</t>
  </si>
  <si>
    <t>SacombankBinhTay-01Jul2024-01</t>
  </si>
  <si>
    <t>NamABank_TD30Nov2023</t>
  </si>
  <si>
    <t>SacombankBinhTay-01Jul2024-02</t>
  </si>
  <si>
    <t>SacombankBinhTay-01Jul2024-03</t>
  </si>
  <si>
    <t>SacombankBinhTay-02Jul2024</t>
  </si>
  <si>
    <t>NamABank-TD12Jul2023</t>
  </si>
  <si>
    <t>Repo-SSI-Homecredit-20Jul2023</t>
  </si>
  <si>
    <t>NamABank-Bank CD</t>
  </si>
  <si>
    <t>Repo-VNDirect-Homecredit-28Jul2023</t>
  </si>
  <si>
    <t>VNDirect-Repo</t>
  </si>
  <si>
    <t>Repo-VNDirect-VCB2131007-28Jul2023</t>
  </si>
  <si>
    <t>SacombankBinhTay-03Jul2024</t>
  </si>
  <si>
    <t>SacombankBinhTay-03Oct2024</t>
  </si>
  <si>
    <t>NamABank-TD29Jul2024</t>
  </si>
  <si>
    <t>Mirae Asset Finance-Consumer Finance CD</t>
  </si>
  <si>
    <t>HD SAISON-Consumer Finance CD</t>
  </si>
  <si>
    <t>VietCapitalBank-Term deposit</t>
  </si>
  <si>
    <t>NamABank-TD12Aug2023</t>
  </si>
  <si>
    <t>Repo-SSI-Homecredit-28Aug2023</t>
  </si>
  <si>
    <t>SSI - HomeCredit CD-Repo</t>
  </si>
  <si>
    <t>EVNF -Consumer Finance CD</t>
  </si>
  <si>
    <t>Repo-VNDirect-Homecredit-29Aug2023</t>
  </si>
  <si>
    <t>Repo-VNDirect-VCB2131007-29Aug2023</t>
  </si>
  <si>
    <t>Vietinbank-Public offering-TIER2</t>
  </si>
  <si>
    <t>NamABank-TD15Sep2023</t>
  </si>
  <si>
    <t>Repo-VNDirect-Homecredit-07Nov2023</t>
  </si>
  <si>
    <t>Repo-VNDirect-VCB2131007-07Nov2023</t>
  </si>
  <si>
    <t>NamABank-TD29Feb2024</t>
  </si>
  <si>
    <t>NamABank-TD29Aug2024</t>
  </si>
  <si>
    <t>EVNFC_RL_KHCL_08.23_043</t>
  </si>
  <si>
    <t>EVNFC_RL_KHCL_08.23_044</t>
  </si>
  <si>
    <t>NamABank-TD08Mar2024</t>
  </si>
  <si>
    <t>NamABank-TD13Sep2024</t>
  </si>
  <si>
    <t>NamABank-TD19Sep2024-01</t>
  </si>
  <si>
    <t>NamABank-TD19Sep2024-02</t>
  </si>
  <si>
    <t>NamABank-TD19Sep2024-03</t>
  </si>
  <si>
    <t>NamABank-TD19Sep2024-04</t>
  </si>
  <si>
    <t>NamABank-TD19Sep2024-05</t>
  </si>
  <si>
    <t>NamABank-TD19Sep2024-06</t>
  </si>
  <si>
    <t>LPB7Y202205-15Sep2025</t>
  </si>
  <si>
    <t>LienVietPostBank-Public offering-TIER2</t>
  </si>
  <si>
    <t>VPB08122023</t>
  </si>
  <si>
    <t>REPO-VNDirect-VCB2131007-04Dec2023</t>
  </si>
  <si>
    <t>VNDirect-VCB2131007-REPO</t>
  </si>
  <si>
    <t>REPO</t>
  </si>
  <si>
    <t>BSC - HCVN-CD04-2023 -2M Nov22</t>
  </si>
  <si>
    <t>BSC-HomeCD042023-REPO</t>
  </si>
  <si>
    <t>BSC - HCVN-CD06-2023-1M Oct18</t>
  </si>
  <si>
    <t>BSC-HomeCD062023-REPO</t>
  </si>
  <si>
    <t>VCBS- MBBL2128004 -8M Jun28th2024</t>
  </si>
  <si>
    <t>VCBS-MBBL2128004-REPO</t>
  </si>
  <si>
    <t>VCBS-MBBL2128008 -8M Jun28th2024</t>
  </si>
  <si>
    <t>VCBS-MBBL2128008-REPO</t>
  </si>
  <si>
    <t>Agribank-Private offering-TIER2</t>
  </si>
  <si>
    <t>Nonterm-VNDirect-2.4%-01</t>
  </si>
  <si>
    <t>VNDirect-Term deposit</t>
  </si>
  <si>
    <t>Nonterm-VNDirect-2.4%-02</t>
  </si>
  <si>
    <t>VPB-TD05Jun2024</t>
  </si>
  <si>
    <t>202301_071223.01</t>
  </si>
  <si>
    <t>SHBF-Consumer Finance CD</t>
  </si>
  <si>
    <t>Becamex-Private offering-CORPBOND</t>
  </si>
  <si>
    <t>SSIAM-VIC121005 -1M Jan17th2024</t>
  </si>
  <si>
    <t>VIC121005-REV-REPO</t>
  </si>
  <si>
    <t>REV-REPO</t>
  </si>
  <si>
    <t>SSIAM-VND122013VNSC -1M Jan17th2024</t>
  </si>
  <si>
    <t>VND122013VNSC-REV-REPO</t>
  </si>
  <si>
    <t>SSIAM-VND122013FH -1M Jan17th2024</t>
  </si>
  <si>
    <t>VND122013FH-REV-REPO</t>
  </si>
  <si>
    <t>SSIAM-VND122014 -1M Jan17th2024</t>
  </si>
  <si>
    <t>VND122014-REV-REPO</t>
  </si>
  <si>
    <t>TVAM-EVNFC_RL_KHCL_08.23_043
-1M Jan19th2024</t>
  </si>
  <si>
    <t>EVNFC_RL_KHCL_08.23_043-REPO</t>
  </si>
  <si>
    <t>TVAM-EVNFC_RL_KHCL_08.23_044
-1M Jan19th2024</t>
  </si>
  <si>
    <t>EVNFC_RL_KHCL_08.23_044-REPO</t>
  </si>
  <si>
    <t>TVAM-EVNFC_RL_KHCL_08.23_005
-1M Jan19th2024</t>
  </si>
  <si>
    <t>EVNFC_RL_KHCL_08.23_005-REPO</t>
  </si>
  <si>
    <t>MSN123008</t>
  </si>
  <si>
    <t>Masan Group -Public offering-CORPBOND</t>
  </si>
  <si>
    <t>SSIAM-VND122013FH -1M Feb21st2024</t>
  </si>
  <si>
    <t>SSIAM-VND122014 -1M Feb21st2024</t>
  </si>
  <si>
    <t>SBTH2427001</t>
  </si>
  <si>
    <t>Thanh Thanh Cong - Bien Hoa -Private offering-CORPBOND</t>
  </si>
  <si>
    <t>VietcreditCD-06Feb2025</t>
  </si>
  <si>
    <t>SeabankTD-06Mar2024</t>
  </si>
  <si>
    <t>Seabank-Term deposit</t>
  </si>
  <si>
    <t>TVAM-EVNFC_RL_KHCL_08.23_044
-1M Feb22nd2024</t>
  </si>
  <si>
    <t>Seabank-TD18Mar2024</t>
  </si>
  <si>
    <t>CTG2030T2/02</t>
  </si>
  <si>
    <t>EVNFC_25Apr2024</t>
  </si>
  <si>
    <t>HDBC7Y202301</t>
  </si>
  <si>
    <t>SHBFCD-06May2024</t>
  </si>
  <si>
    <t>SHBFCD-26April2024</t>
  </si>
  <si>
    <t>LPBank-TD06May2024</t>
  </si>
  <si>
    <t>LPBank-Term deposit</t>
  </si>
  <si>
    <t>TD2151043</t>
  </si>
  <si>
    <t>Vietnam State Treasury-Government bond</t>
  </si>
  <si>
    <t>Government bond</t>
  </si>
  <si>
    <t>12042024.01/HÐTG</t>
  </si>
  <si>
    <t>SHBF-Term deposit</t>
  </si>
  <si>
    <t>TCSCPO2325002</t>
  </si>
  <si>
    <t>TCBS-Public offering-CORPBOND</t>
  </si>
  <si>
    <t>LPB123015</t>
  </si>
  <si>
    <t>MSN123009-10Jun2024 (Repo)</t>
  </si>
  <si>
    <t>LienVietPostBank-Public offering-CORPBOND</t>
  </si>
  <si>
    <t>Tên Misa</t>
  </si>
  <si>
    <t>FV</t>
  </si>
  <si>
    <t>Giá trị vốn cuối kỳ</t>
  </si>
  <si>
    <t>Type</t>
  </si>
  <si>
    <t>Corp bond</t>
  </si>
  <si>
    <t>Bank bond</t>
  </si>
  <si>
    <t>CDs</t>
  </si>
  <si>
    <t>Ngày giao dịch</t>
  </si>
  <si>
    <t>Số lượng tồn cuối kỳ/giao dịch</t>
  </si>
  <si>
    <t>Giá trị vốn cuối kỳ/giá trị giao dịch</t>
  </si>
  <si>
    <t>Phát hành/Ngày mua</t>
  </si>
  <si>
    <t>Đáo hạn</t>
  </si>
  <si>
    <t>Ngày trả lãi tiếp theo</t>
  </si>
  <si>
    <t>Số lượng TP giao dịch</t>
  </si>
  <si>
    <t>Giá trị giao dịch</t>
  </si>
  <si>
    <t>CTCP Cấp thoát nước Bình Phước</t>
  </si>
  <si>
    <t>CTCP Ðầu tư Thành Thành Công</t>
  </si>
  <si>
    <t>Float: LSTC + 2.2%</t>
  </si>
  <si>
    <t>MB</t>
  </si>
  <si>
    <t>Novaland</t>
  </si>
  <si>
    <t>Phat Dat Real Estate Development Corp</t>
  </si>
  <si>
    <t>Tổng CT Phát triển đô thị Kinh Bắc</t>
  </si>
  <si>
    <t>VCB</t>
  </si>
  <si>
    <t>Float: LSTC + 0.7%</t>
  </si>
  <si>
    <t>CT tài chính Cổ phần Tín Việt</t>
  </si>
  <si>
    <t>EIR</t>
  </si>
  <si>
    <t>Số mua/bán gần nhất</t>
  </si>
  <si>
    <t>Ngày trả lãi gần nhất/Ngày mua</t>
  </si>
  <si>
    <t>Hoàng check lại</t>
  </si>
  <si>
    <t>User nắm giữ tại chứng khoán kinh doanh</t>
  </si>
  <si>
    <t>Mã chứng khoán</t>
  </si>
  <si>
    <t>Phân loại</t>
  </si>
  <si>
    <t>Giá trị điều chỉnh</t>
  </si>
  <si>
    <t>Tiền bán chờ về</t>
  </si>
  <si>
    <t>Tổng giá vốn (Note)</t>
  </si>
  <si>
    <t>Giá vốn đơn vị</t>
  </si>
  <si>
    <t>Số lượng user nắm giữ</t>
  </si>
  <si>
    <t>Số lượng đánh giá lại</t>
  </si>
  <si>
    <t>Giá trị thị trường theo Vietstock</t>
  </si>
  <si>
    <t>Giá trị đánh giá lại (Fair value)</t>
  </si>
  <si>
    <t>Chênh lệch đánh giá</t>
  </si>
  <si>
    <t>Chênh tăng</t>
  </si>
  <si>
    <t>Chênh giảm</t>
  </si>
  <si>
    <t>Note</t>
  </si>
  <si>
    <t>Giá trị đánh giá lại</t>
  </si>
  <si>
    <t>Đánh giá tăng</t>
  </si>
  <si>
    <t>Đánh giá giảm</t>
  </si>
  <si>
    <t>Giá trị thị trường</t>
  </si>
  <si>
    <t>Dif chênh tăng</t>
  </si>
  <si>
    <t>Dif chênh giảm</t>
  </si>
  <si>
    <t xml:space="preserve">Số lượng </t>
  </si>
  <si>
    <t>Giá vốn</t>
  </si>
  <si>
    <t>Giá Thị Trường</t>
  </si>
  <si>
    <t>Giá vốn - Giá thị trg</t>
  </si>
  <si>
    <t>Giá Vốn user</t>
  </si>
  <si>
    <t xml:space="preserve">Giá thị trường đơn vị </t>
  </si>
  <si>
    <t>AAA</t>
  </si>
  <si>
    <t>Cổ phiếu</t>
  </si>
  <si>
    <t>AAM</t>
  </si>
  <si>
    <t>AAT</t>
  </si>
  <si>
    <t>ABS</t>
  </si>
  <si>
    <t>ABT</t>
  </si>
  <si>
    <t>ACB</t>
  </si>
  <si>
    <t>ACC</t>
  </si>
  <si>
    <t>ACL</t>
  </si>
  <si>
    <t>ADG</t>
  </si>
  <si>
    <t>ADS</t>
  </si>
  <si>
    <t>AGG</t>
  </si>
  <si>
    <t>AGM</t>
  </si>
  <si>
    <t>AGR</t>
  </si>
  <si>
    <t>AMD</t>
  </si>
  <si>
    <t>ANV</t>
  </si>
  <si>
    <t>APC</t>
  </si>
  <si>
    <t>APG</t>
  </si>
  <si>
    <t>APH</t>
  </si>
  <si>
    <t>ASG</t>
  </si>
  <si>
    <t>ASM</t>
  </si>
  <si>
    <t>ASP</t>
  </si>
  <si>
    <t>AST</t>
  </si>
  <si>
    <t>BAF</t>
  </si>
  <si>
    <t>BBC</t>
  </si>
  <si>
    <t>BCE</t>
  </si>
  <si>
    <t>BCG</t>
  </si>
  <si>
    <t>BCM</t>
  </si>
  <si>
    <t>BFC</t>
  </si>
  <si>
    <t>BHN</t>
  </si>
  <si>
    <t>BIC</t>
  </si>
  <si>
    <t>BID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</si>
  <si>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</si>
  <si>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</si>
  <si>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</si>
  <si>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</si>
  <si>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</si>
  <si>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</si>
  <si>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</si>
  <si>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</si>
  <si>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</si>
  <si>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</si>
  <si>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</si>
  <si>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</si>
  <si>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</si>
  <si>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</si>
  <si>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</si>
  <si>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</si>
  <si>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</si>
  <si>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Bị hủy niêm yết</t>
  </si>
  <si>
    <t>CHP</t>
  </si>
  <si>
    <t>CIG</t>
  </si>
  <si>
    <t>CII</t>
  </si>
  <si>
    <t>CKG</t>
  </si>
  <si>
    <t>CLC</t>
  </si>
  <si>
    <t>CLL</t>
  </si>
  <si>
    <t>CMG</t>
  </si>
  <si>
    <t>CMV</t>
  </si>
  <si>
    <t>CMX</t>
  </si>
  <si>
    <t>CNG</t>
  </si>
  <si>
    <t>COM</t>
  </si>
  <si>
    <t>CRC</t>
  </si>
  <si>
    <t>CRE</t>
  </si>
  <si>
    <t>CSM</t>
  </si>
  <si>
    <t>CSV</t>
  </si>
  <si>
    <t>CTD</t>
  </si>
  <si>
    <t>CTF</t>
  </si>
  <si>
    <t>CTG</t>
  </si>
  <si>
    <t>CTI</t>
  </si>
  <si>
    <t>CTR</t>
  </si>
  <si>
    <t>CTS</t>
  </si>
  <si>
    <t>D2D</t>
  </si>
  <si>
    <t>DAG</t>
  </si>
  <si>
    <t>DAH</t>
  </si>
  <si>
    <t>DAT</t>
  </si>
  <si>
    <t>DBC</t>
  </si>
  <si>
    <t>DBD</t>
  </si>
  <si>
    <t>DBT</t>
  </si>
  <si>
    <t>DC4</t>
  </si>
  <si>
    <t>DCL</t>
  </si>
  <si>
    <t>DCM</t>
  </si>
  <si>
    <t>DGC</t>
  </si>
  <si>
    <t>DGW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</si>
  <si>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</si>
  <si>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</si>
  <si>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</si>
  <si>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</si>
  <si>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</si>
  <si>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</si>
  <si>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</si>
  <si>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</si>
  <si>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</si>
  <si>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</si>
  <si>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</si>
  <si>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</si>
  <si>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DSN</t>
  </si>
  <si>
    <t>DTA</t>
  </si>
  <si>
    <t>DXG</t>
  </si>
  <si>
    <t>DXS</t>
  </si>
  <si>
    <t>DXV</t>
  </si>
  <si>
    <t>EIB</t>
  </si>
  <si>
    <t>ELC</t>
  </si>
  <si>
    <t>EMC</t>
  </si>
  <si>
    <t>EVE</t>
  </si>
  <si>
    <t>EVF</t>
  </si>
  <si>
    <t>EVG</t>
  </si>
  <si>
    <t>FCM</t>
  </si>
  <si>
    <t>FCN</t>
  </si>
  <si>
    <t>FIR</t>
  </si>
  <si>
    <t>FIT</t>
  </si>
  <si>
    <t>FLC</t>
  </si>
  <si>
    <t>FMC</t>
  </si>
  <si>
    <t>FPT</t>
  </si>
  <si>
    <t>FRT</t>
  </si>
  <si>
    <t>FTM</t>
  </si>
  <si>
    <t>FTS</t>
  </si>
  <si>
    <t>GAS</t>
  </si>
  <si>
    <t>GDT</t>
  </si>
  <si>
    <t>GEG</t>
  </si>
  <si>
    <t>GEX</t>
  </si>
  <si>
    <t>GIL</t>
  </si>
  <si>
    <t>GMD</t>
  </si>
  <si>
    <t>GSP</t>
  </si>
  <si>
    <t>GTA</t>
  </si>
  <si>
    <t>GVR</t>
  </si>
  <si>
    <t>HAG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</si>
  <si>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</si>
  <si>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</si>
  <si>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</si>
  <si>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</si>
  <si>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</si>
  <si>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</si>
  <si>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</si>
  <si>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</si>
  <si>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</si>
  <si>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HDB</t>
  </si>
  <si>
    <t>HDC</t>
  </si>
  <si>
    <t>HDG</t>
  </si>
  <si>
    <t>HHP</t>
  </si>
  <si>
    <t>HHS</t>
  </si>
  <si>
    <t>HID</t>
  </si>
  <si>
    <t>HII</t>
  </si>
  <si>
    <t>HMC</t>
  </si>
  <si>
    <t>HNG</t>
  </si>
  <si>
    <t>HPG</t>
  </si>
  <si>
    <t>HPX</t>
  </si>
  <si>
    <t>HQC</t>
  </si>
  <si>
    <t>HSG</t>
  </si>
  <si>
    <t>HSL</t>
  </si>
  <si>
    <t>HT1</t>
  </si>
  <si>
    <t>HTI</t>
  </si>
  <si>
    <t>HTL</t>
  </si>
  <si>
    <t>HTN</t>
  </si>
  <si>
    <t>HTV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</si>
  <si>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</si>
  <si>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</si>
  <si>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</si>
  <si>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</si>
  <si>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</si>
  <si>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</si>
  <si>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</si>
  <si>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</si>
  <si>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</si>
  <si>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IMP</t>
  </si>
  <si>
    <t>ITA</t>
  </si>
  <si>
    <t>ITC</t>
  </si>
  <si>
    <t>ITD</t>
  </si>
  <si>
    <t>JVC</t>
  </si>
  <si>
    <t>KBC</t>
  </si>
  <si>
    <t>KDC</t>
  </si>
  <si>
    <t>KDH</t>
  </si>
  <si>
    <t>KHG</t>
  </si>
  <si>
    <t>KHP</t>
  </si>
  <si>
    <t>KMR</t>
  </si>
  <si>
    <t>KOS</t>
  </si>
  <si>
    <t>KPF</t>
  </si>
  <si>
    <t>KSB</t>
  </si>
  <si>
    <t>LBM</t>
  </si>
  <si>
    <t>LCG</t>
  </si>
  <si>
    <t>LCM</t>
  </si>
  <si>
    <t>LDG</t>
  </si>
  <si>
    <t>LEC</t>
  </si>
  <si>
    <t>LGL</t>
  </si>
  <si>
    <t>LHG</t>
  </si>
  <si>
    <t>LIX</t>
  </si>
  <si>
    <t>LM8</t>
  </si>
  <si>
    <t>LPB</t>
  </si>
  <si>
    <t>LSS</t>
  </si>
  <si>
    <t>MCG</t>
  </si>
  <si>
    <t>MCP</t>
  </si>
  <si>
    <t>MDG</t>
  </si>
  <si>
    <t>MHC</t>
  </si>
  <si>
    <t>MIG</t>
  </si>
  <si>
    <t>MSB</t>
  </si>
  <si>
    <t>MSH</t>
  </si>
  <si>
    <t>MSN</t>
  </si>
  <si>
    <t>MWG</t>
  </si>
  <si>
    <t>NAF</t>
  </si>
  <si>
    <t>NAV</t>
  </si>
  <si>
    <t>NBB</t>
  </si>
  <si>
    <t>NCT</t>
  </si>
  <si>
    <t>NHA</t>
  </si>
  <si>
    <t>NHH</t>
  </si>
  <si>
    <t>NKG</t>
  </si>
  <si>
    <t>NLG</t>
  </si>
  <si>
    <t>NSC</t>
  </si>
  <si>
    <t>NT2</t>
  </si>
  <si>
    <t>NTL</t>
  </si>
  <si>
    <t>NVL</t>
  </si>
  <si>
    <t>NVT</t>
  </si>
  <si>
    <t>OCB</t>
  </si>
  <si>
    <t>OGC</t>
  </si>
  <si>
    <t>OPC</t>
  </si>
  <si>
    <t>ORS</t>
  </si>
  <si>
    <t>PAC</t>
  </si>
  <si>
    <t>PAN</t>
  </si>
  <si>
    <t>PC1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</si>
  <si>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</si>
  <si>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</si>
  <si>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</si>
  <si>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</si>
  <si>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</si>
  <si>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</si>
  <si>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</si>
  <si>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</si>
  <si>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</si>
  <si>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</si>
  <si>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</si>
  <si>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</si>
  <si>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</si>
  <si>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</si>
  <si>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</si>
  <si>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</si>
  <si>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</si>
  <si>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</si>
  <si>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</si>
  <si>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</si>
  <si>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</si>
  <si>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</si>
  <si>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QBS</t>
  </si>
  <si>
    <t>QCG</t>
  </si>
  <si>
    <t>RAL</t>
  </si>
  <si>
    <t>RDP</t>
  </si>
  <si>
    <t>REE</t>
  </si>
  <si>
    <t>ROS</t>
  </si>
  <si>
    <t>SAB</t>
  </si>
  <si>
    <t>SAM</t>
  </si>
  <si>
    <t>SBT</t>
  </si>
  <si>
    <t>SC5</t>
  </si>
  <si>
    <t>SCD</t>
  </si>
  <si>
    <t>SCR</t>
  </si>
  <si>
    <t>SFG</t>
  </si>
  <si>
    <t>SGR</t>
  </si>
  <si>
    <t>SGT</t>
  </si>
  <si>
    <t>SHA</t>
  </si>
  <si>
    <t>SHB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</si>
  <si>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</si>
  <si>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</si>
  <si>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</si>
  <si>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</si>
  <si>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</si>
  <si>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</si>
  <si>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</si>
  <si>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</si>
  <si>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</si>
  <si>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</si>
  <si>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SRC</t>
  </si>
  <si>
    <t>SRF</t>
  </si>
  <si>
    <t>SSB</t>
  </si>
  <si>
    <t>SSI</t>
  </si>
  <si>
    <t>STB</t>
  </si>
  <si>
    <t>STG</t>
  </si>
  <si>
    <t>STK</t>
  </si>
  <si>
    <t>SVD</t>
  </si>
  <si>
    <t>SZC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</si>
  <si>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</si>
  <si>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</si>
  <si>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</si>
  <si>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</si>
  <si>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</si>
  <si>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</si>
  <si>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</si>
  <si>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</si>
  <si>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</si>
  <si>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</si>
  <si>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</si>
  <si>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</si>
  <si>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</si>
  <si>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</si>
  <si>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TDW</t>
  </si>
  <si>
    <t>TEG</t>
  </si>
  <si>
    <t>TGG</t>
  </si>
  <si>
    <t>THI</t>
  </si>
  <si>
    <t>TIP</t>
  </si>
  <si>
    <t>TLD</t>
  </si>
  <si>
    <t>TLG</t>
  </si>
  <si>
    <t>TLH</t>
  </si>
  <si>
    <t>TMS</t>
  </si>
  <si>
    <t>TMT</t>
  </si>
  <si>
    <t>TNA</t>
  </si>
  <si>
    <t>TNH</t>
  </si>
  <si>
    <t>TNI</t>
  </si>
  <si>
    <t>TNT</t>
  </si>
  <si>
    <t>TPB</t>
  </si>
  <si>
    <t>TRA</t>
  </si>
  <si>
    <t>TSC</t>
  </si>
  <si>
    <t>TTA</t>
  </si>
  <si>
    <t>TTB</t>
  </si>
  <si>
    <t>TTE</t>
  </si>
  <si>
    <t>TTF</t>
  </si>
  <si>
    <t>TV2</t>
  </si>
  <si>
    <t>TVB</t>
  </si>
  <si>
    <t>TVS</t>
  </si>
  <si>
    <t>UDC</t>
  </si>
  <si>
    <t>VAF</t>
  </si>
  <si>
    <t>VCA</t>
  </si>
  <si>
    <t>VCG</t>
  </si>
  <si>
    <t>VCI</t>
  </si>
  <si>
    <t>VDS</t>
  </si>
  <si>
    <t>VGC</t>
  </si>
  <si>
    <t>VHC</t>
  </si>
  <si>
    <t>VHM</t>
  </si>
  <si>
    <t>VIB</t>
  </si>
  <si>
    <t>VIC</t>
  </si>
  <si>
    <t>VID</t>
  </si>
  <si>
    <t>VIP</t>
  </si>
  <si>
    <t>VIS</t>
  </si>
  <si>
    <t>VIX</t>
  </si>
  <si>
    <t>VJC</t>
  </si>
  <si>
    <t>VLC</t>
  </si>
  <si>
    <t>VMD</t>
  </si>
  <si>
    <t>VNE</t>
  </si>
  <si>
    <t>VNG</t>
  </si>
  <si>
    <t>VNL</t>
  </si>
  <si>
    <t>VNM</t>
  </si>
  <si>
    <t>VNS</t>
  </si>
  <si>
    <t>VOS</t>
  </si>
  <si>
    <t>VPB</t>
  </si>
  <si>
    <t>VPD</t>
  </si>
  <si>
    <t>VPG</t>
  </si>
  <si>
    <t>VPH</t>
  </si>
  <si>
    <t>VPI</t>
  </si>
  <si>
    <t>VPS</t>
  </si>
  <si>
    <t>VRC</t>
  </si>
  <si>
    <t>VRE</t>
  </si>
  <si>
    <t>VSC</t>
  </si>
  <si>
    <t>VSH</t>
  </si>
  <si>
    <t>VTB</t>
  </si>
  <si>
    <t>VTO</t>
  </si>
  <si>
    <t>YBM</t>
  </si>
  <si>
    <t>YEG</t>
  </si>
  <si>
    <t>BVBF</t>
  </si>
  <si>
    <t>Chứng khoán kinh doanh khác</t>
  </si>
  <si>
    <t>CCQ</t>
  </si>
  <si>
    <t>BVPF</t>
  </si>
  <si>
    <t>DIAMOND</t>
  </si>
  <si>
    <t>E1VFVN30</t>
  </si>
  <si>
    <t>ETFVN50</t>
  </si>
  <si>
    <t>FUEIP100</t>
  </si>
  <si>
    <t>FUEMAV30</t>
  </si>
  <si>
    <t>FUESSVFL</t>
  </si>
  <si>
    <t>MAGEFN001</t>
  </si>
  <si>
    <t>PVBF</t>
  </si>
  <si>
    <t>SCA</t>
  </si>
  <si>
    <t>SSIAMVN30</t>
  </si>
  <si>
    <t>SSIBF</t>
  </si>
  <si>
    <t>TCBF</t>
  </si>
  <si>
    <t>TCFF</t>
  </si>
  <si>
    <t>VCB-BCF</t>
  </si>
  <si>
    <t>VF1</t>
  </si>
  <si>
    <t>VF4</t>
  </si>
  <si>
    <t>VFB</t>
  </si>
  <si>
    <t>VLGF</t>
  </si>
  <si>
    <t>VN100</t>
  </si>
  <si>
    <t>VNDAF</t>
  </si>
  <si>
    <t>VNDBF</t>
  </si>
  <si>
    <t>CCQ.Ban.pending</t>
  </si>
  <si>
    <t>CCTG</t>
  </si>
  <si>
    <t>PGACCAP81S8P2Z9XJAE3J3PVJEV6VWDCE9JR718D6QKVKCPFHRXG</t>
  </si>
  <si>
    <t>Vu Long Nguyen</t>
  </si>
  <si>
    <t>Create</t>
  </si>
  <si>
    <t>65b26971-10f6-4741-9d22-9f05038adc69</t>
  </si>
  <si>
    <t>{"id":"65b26971-10f6-4741-9d22-9f05038adc69","type":1,"name":"workbookId","value":"f5f37ca9-e9b4-48b8-8757-503a39b33006"}</t>
  </si>
  <si>
    <t>cdb737be-22e1-44bd-8924-a6c8ca01d055</t>
  </si>
  <si>
    <t>{"id":"cdb737be-22e1-44bd-8924-a6c8ca01d055","type":0,"name":"dataSnipperSheetDeleted","value":"false"}</t>
  </si>
  <si>
    <t>101a7fe7-dff8-4011-82c9-6e3173f6478d</t>
  </si>
  <si>
    <t>{"id":"101a7fe7-dff8-4011-82c9-6e3173f6478d","type":0,"name":"embed-documents","value":"false"}</t>
  </si>
  <si>
    <t>7633bc80-a9ef-46c6-ad0f-15d63d268403</t>
  </si>
  <si>
    <t>{"id":"7633bc80-a9ef-46c6-ad0f-15d63d268403","type":0,"name":"table-snip-suggestions","value":"true"}</t>
  </si>
  <si>
    <t>b03f3a6e-5ebb-4606-83f6-b5bb9d1802dd</t>
  </si>
  <si>
    <t>{"id":"b03f3a6e-5ebb-4606-83f6-b5bb9d1802dd","type":1,"name":"migratedFssProjectId","value":""}</t>
  </si>
  <si>
    <t>{"id":"65b26971-10f6-4741-9d22-9f05038adc69","type":1,"name":"workbookId","value":"acc341a6-061f-414d-81f3-ab0b100d3464"}</t>
  </si>
  <si>
    <t>{"id":"101a7fe7-dff8-4011-82c9-6e3173f6478d","type":0,"name":"embed-documents","value":"true"}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</si>
</sst>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-* #,##0.00\ _₫_-;\-* #,##0.00\ _₫_-;_-* &quot;-&quot;??\ _₫_-;_-@_-"/>
    <numFmt numFmtId="167" formatCode="_(* #,##0_);_(* \(#,##0\);_(* &quot;-&quot;??_);_(@_)"/>
    <numFmt numFmtId="168" formatCode="_-* #,##0.00\ _դ_ր_._-;\-* #,##0.00\ _դ_ր_._-;_-* &quot;-&quot;??\ _դ_ր_._-;_-@_-"/>
    <numFmt numFmtId="169" formatCode="_-* #,##0.00\ _?_?_._-;\-* #,##0.00\ _?_?_._-;_-* &quot;-&quot;??\ _?_?_._-;_-@_-"/>
    <numFmt numFmtId="170" formatCode="[$SGD]\ #,##0.00_);[Red]\([$SGD]\ #,##0.00\)"/>
    <numFmt numFmtId="171" formatCode="0.000%"/>
    <numFmt numFmtId="172" formatCode="dd\.mm\.yyyy;@"/>
    <numFmt numFmtId="173" formatCode="_-* #,##0_-;\-* #,##0_-;_-* &quot;-&quot;??_-;_-@_-"/>
    <numFmt numFmtId="174" formatCode="_(* #,##0.0_);_(* \(#,##0.0\);_(* &quot;-&quot;?_);_(@_)"/>
    <numFmt numFmtId="175" formatCode="0.0%"/>
    <numFmt numFmtId="176" formatCode="_(* #,##0.0000_);_(* \(#,##0.0000\);_(* &quot;-&quot;??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sz val="12"/>
      <name val=".VnTime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EYInterstate Light"/>
      <family val="2"/>
    </font>
    <font>
      <sz val="12"/>
      <color theme="1"/>
      <name val="Times New Roman"/>
      <family val="2"/>
    </font>
    <font>
      <sz val="8"/>
      <name val="EYInterstate Light"/>
    </font>
    <font>
      <u/>
      <sz val="10"/>
      <color theme="10"/>
      <name val="EYInterstate Light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Arial"/>
      <family val="2"/>
    </font>
    <font>
      <sz val="10"/>
      <color rgb="FF000000"/>
      <name val="Arial"/>
      <family val="2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292929"/>
      <name val="MyriadPro-Cond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C6E0B4"/>
      </patternFill>
    </fill>
    <fill>
      <patternFill patternType="solid">
        <fgColor rgb="FFFFFF00"/>
        <bgColor rgb="FFC6E0B4"/>
      </patternFill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1F25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44E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hair">
        <color indexed="64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000000"/>
      </left>
      <right/>
      <top/>
      <bottom/>
      <diagonal/>
    </border>
    <border>
      <left/>
      <right style="hair">
        <color indexed="64"/>
      </right>
      <top style="medium">
        <color auto="1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6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Font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7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</xf>
    <xf numFmtId="9" fontId="5" fillId="0" borderId="0" applyFont="0" applyFill="0" applyBorder="0" applyAlignment="0" applyProtection="0"/>
    <xf numFmtId="0" fontId="1" fillId="0" borderId="0"/>
    <xf numFmtId="0" fontId="9" fillId="0" borderId="0"/>
    <xf numFmtId="0" fontId="13" fillId="0" borderId="0"/>
    <xf numFmtId="165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0" applyNumberFormat="0" applyFill="0" applyBorder="0" applyAlignment="0" applyProtection="0"/>
    <xf numFmtId="9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2" fillId="6" borderId="9"/>
    <xf numFmtId="0" fontId="5" fillId="0" borderId="0"/>
    <xf numFmtId="0" fontId="1" fillId="0" borderId="0" applyFont="0"/>
    <xf numFmtId="166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7" fillId="0" borderId="0"/>
    <xf numFmtId="0" fontId="1" fillId="0" borderId="0"/>
    <xf numFmtId="0" fontId="17" fillId="0" borderId="0" applyFill="0" applyProtection="0"/>
    <xf numFmtId="165" fontId="1" fillId="0" borderId="0" applyFont="0" applyFill="0" applyBorder="0" applyAlignment="0" applyProtection="0"/>
    <xf numFmtId="0" fontId="1" fillId="0" borderId="0"/>
    <xf numFmtId="0" fontId="13" fillId="0" borderId="0"/>
    <xf numFmtId="0" fontId="1" fillId="0" borderId="0" applyFont="0"/>
    <xf numFmtId="166" fontId="1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9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7" fillId="0" borderId="0"/>
    <xf numFmtId="168" fontId="13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7" fillId="0" borderId="0"/>
    <xf numFmtId="165" fontId="1" fillId="0" borderId="0" applyFont="0" applyFill="0" applyBorder="0" applyAlignment="0" applyProtection="0"/>
    <xf numFmtId="0" fontId="1" fillId="0" borderId="0"/>
    <xf numFmtId="165" fontId="19" fillId="0" borderId="0" applyFont="0" applyFill="0" applyBorder="0" applyAlignment="0" applyProtection="0"/>
    <xf numFmtId="0" fontId="19" fillId="0" borderId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3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" fillId="0" borderId="0"/>
    <xf numFmtId="169" fontId="23" fillId="0" borderId="0" applyFont="0" applyFill="0" applyBorder="0" applyAlignment="0" applyProtection="0"/>
    <xf numFmtId="0" fontId="2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17" fillId="0" borderId="0"/>
    <xf numFmtId="0" fontId="17" fillId="0" borderId="0"/>
    <xf numFmtId="165" fontId="1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0" borderId="0"/>
    <xf numFmtId="0" fontId="20" fillId="0" borderId="0">
      <alignment vertical="top"/>
    </xf>
    <xf numFmtId="0" fontId="17" fillId="0" borderId="0"/>
    <xf numFmtId="0" fontId="19" fillId="0" borderId="0"/>
    <xf numFmtId="0" fontId="17" fillId="0" borderId="0"/>
    <xf numFmtId="0" fontId="17" fillId="0" borderId="0"/>
    <xf numFmtId="0" fontId="20" fillId="0" borderId="0">
      <alignment vertical="top"/>
    </xf>
    <xf numFmtId="165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20" fillId="0" borderId="0">
      <alignment vertical="top"/>
    </xf>
    <xf numFmtId="0" fontId="23" fillId="0" borderId="0"/>
    <xf numFmtId="0" fontId="20" fillId="0" borderId="0">
      <alignment vertical="top"/>
    </xf>
    <xf numFmtId="0" fontId="17" fillId="0" borderId="0"/>
    <xf numFmtId="0" fontId="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1" fillId="0" borderId="0" applyFont="0"/>
    <xf numFmtId="166" fontId="1" fillId="0" borderId="0" applyFont="0" applyFill="0" applyBorder="0" applyAlignment="0" applyProtection="0"/>
    <xf numFmtId="0" fontId="1" fillId="0" borderId="0"/>
    <xf numFmtId="0" fontId="1" fillId="0" borderId="0" applyFont="0"/>
    <xf numFmtId="0" fontId="1" fillId="0" borderId="0" applyFont="0"/>
    <xf numFmtId="0" fontId="1" fillId="0" borderId="0"/>
    <xf numFmtId="0" fontId="1" fillId="0" borderId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165" fontId="20" fillId="0" borderId="0" applyFont="0" applyFill="0" applyBorder="0" applyAlignment="0" applyProtection="0">
      <alignment vertical="top"/>
    </xf>
    <xf numFmtId="166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 applyFont="0"/>
    <xf numFmtId="0" fontId="20" fillId="0" borderId="0">
      <alignment vertical="top"/>
    </xf>
    <xf numFmtId="9" fontId="1" fillId="0" borderId="0" applyFont="0" applyFill="0" applyBorder="0" applyAlignment="0" applyProtection="0"/>
    <xf numFmtId="0" fontId="1" fillId="0" borderId="0"/>
    <xf numFmtId="0" fontId="20" fillId="0" borderId="0">
      <alignment vertical="top"/>
    </xf>
    <xf numFmtId="165" fontId="20" fillId="0" borderId="0" applyFont="0" applyFill="0" applyBorder="0" applyAlignment="0" applyProtection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165" fontId="20" fillId="0" borderId="0" applyFont="0" applyFill="0" applyBorder="0" applyAlignment="0" applyProtection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1" fillId="0" borderId="0"/>
    <xf numFmtId="0" fontId="1" fillId="0" borderId="0"/>
    <xf numFmtId="0" fontId="1" fillId="0" borderId="0" applyFont="0"/>
    <xf numFmtId="0" fontId="1" fillId="0" borderId="0" applyFont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165" fontId="20" fillId="0" borderId="0" applyFont="0" applyFill="0" applyBorder="0" applyAlignment="0" applyProtection="0">
      <alignment vertical="top"/>
    </xf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 applyFont="0"/>
    <xf numFmtId="0" fontId="1" fillId="0" borderId="0"/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20" fillId="0" borderId="0">
      <alignment vertical="top"/>
    </xf>
    <xf numFmtId="0" fontId="1" fillId="0" borderId="0"/>
    <xf numFmtId="0" fontId="1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 applyFont="0"/>
    <xf numFmtId="0" fontId="1" fillId="0" borderId="0" applyFont="0"/>
    <xf numFmtId="0" fontId="1" fillId="0" borderId="0" applyFont="0"/>
    <xf numFmtId="0" fontId="1" fillId="0" borderId="0"/>
    <xf numFmtId="0" fontId="1" fillId="0" borderId="0" applyFont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" fillId="0" borderId="0" applyFont="0"/>
    <xf numFmtId="0" fontId="1" fillId="0" borderId="0" applyFont="0"/>
    <xf numFmtId="0" fontId="1" fillId="0" borderId="0" applyFont="0"/>
    <xf numFmtId="0" fontId="20" fillId="0" borderId="0">
      <alignment vertical="top"/>
    </xf>
    <xf numFmtId="0" fontId="20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Font="0"/>
    <xf numFmtId="0" fontId="5" fillId="0" borderId="0"/>
    <xf numFmtId="0" fontId="1" fillId="0" borderId="0" applyFont="0"/>
    <xf numFmtId="0" fontId="5" fillId="0" borderId="0"/>
    <xf numFmtId="0" fontId="1" fillId="0" borderId="0" applyFont="0"/>
    <xf numFmtId="0" fontId="7" fillId="7" borderId="0" applyNumberFormat="0" applyBorder="0" applyProtection="0">
      <alignment horizontal="center" wrapText="1"/>
    </xf>
    <xf numFmtId="0" fontId="5" fillId="0" borderId="0"/>
    <xf numFmtId="165" fontId="5" fillId="0" borderId="0" applyFont="0" applyFill="0" applyBorder="0" applyAlignment="0" applyProtection="0"/>
    <xf numFmtId="0" fontId="1" fillId="0" borderId="0" applyFont="0"/>
    <xf numFmtId="0" fontId="1" fillId="0" borderId="0" applyFont="0"/>
    <xf numFmtId="0" fontId="1" fillId="0" borderId="0" applyFont="0"/>
    <xf numFmtId="0" fontId="25" fillId="0" borderId="0"/>
    <xf numFmtId="0" fontId="20" fillId="0" borderId="0">
      <alignment vertical="top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0" fillId="0" borderId="0" applyFont="0" applyFill="0" applyBorder="0" applyAlignment="0" applyProtection="0">
      <alignment vertical="top"/>
    </xf>
    <xf numFmtId="165" fontId="20" fillId="0" borderId="0" applyFont="0" applyFill="0" applyBorder="0" applyAlignment="0" applyProtection="0">
      <alignment vertical="top"/>
    </xf>
    <xf numFmtId="165" fontId="20" fillId="0" borderId="0" applyFont="0" applyFill="0" applyBorder="0" applyAlignment="0" applyProtection="0">
      <alignment vertical="top"/>
    </xf>
    <xf numFmtId="165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8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165" fontId="20" fillId="0" borderId="0" applyFont="0" applyFill="0" applyBorder="0" applyAlignment="0" applyProtection="0">
      <alignment vertical="top"/>
    </xf>
    <xf numFmtId="0" fontId="26" fillId="0" borderId="0"/>
    <xf numFmtId="165" fontId="7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</xf>
    <xf numFmtId="9" fontId="5" fillId="0" borderId="0" applyFont="0" applyFill="0" applyBorder="0" applyAlignment="0" applyProtection="0"/>
    <xf numFmtId="0" fontId="1" fillId="0" borderId="0"/>
    <xf numFmtId="0" fontId="9" fillId="0" borderId="0"/>
    <xf numFmtId="165" fontId="1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5" fillId="0" borderId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0" fillId="0" borderId="0" applyFont="0" applyFill="0" applyBorder="0" applyAlignment="0" applyProtection="0">
      <alignment vertical="top"/>
    </xf>
    <xf numFmtId="0" fontId="1" fillId="0" borderId="0" applyFont="0"/>
    <xf numFmtId="165" fontId="20" fillId="0" borderId="0" applyFont="0" applyFill="0" applyBorder="0" applyAlignment="0" applyProtection="0">
      <alignment vertical="top"/>
    </xf>
    <xf numFmtId="165" fontId="20" fillId="0" borderId="0" applyFont="0" applyFill="0" applyBorder="0" applyAlignment="0" applyProtection="0">
      <alignment vertical="top"/>
    </xf>
    <xf numFmtId="165" fontId="20" fillId="0" borderId="0" applyFont="0" applyFill="0" applyBorder="0" applyAlignment="0" applyProtection="0">
      <alignment vertical="top"/>
    </xf>
    <xf numFmtId="165" fontId="5" fillId="0" borderId="0" applyFont="0" applyFill="0" applyBorder="0" applyAlignment="0" applyProtection="0"/>
    <xf numFmtId="0" fontId="4" fillId="0" borderId="0"/>
    <xf numFmtId="0" fontId="26" fillId="0" borderId="0"/>
    <xf numFmtId="0" fontId="7" fillId="0" borderId="0">
      <alignment vertical="center"/>
    </xf>
    <xf numFmtId="170" fontId="17" fillId="0" borderId="0"/>
    <xf numFmtId="0" fontId="27" fillId="0" borderId="0"/>
    <xf numFmtId="165" fontId="26" fillId="0" borderId="0" applyFont="0" applyFill="0" applyBorder="0" applyAlignment="0" applyProtection="0"/>
    <xf numFmtId="0" fontId="7" fillId="0" borderId="0">
      <alignment vertical="center"/>
    </xf>
    <xf numFmtId="0" fontId="24" fillId="0" borderId="0"/>
    <xf numFmtId="0" fontId="12" fillId="0" borderId="0" applyNumberFormat="0" applyFill="0" applyBorder="0" applyAlignment="0" applyProtection="0">
      <alignment vertical="top"/>
    </xf>
    <xf numFmtId="0" fontId="26" fillId="0" borderId="0"/>
    <xf numFmtId="0" fontId="15" fillId="0" borderId="1" applyNumberFormat="0" applyFill="0" applyAlignment="0" applyProtection="0"/>
    <xf numFmtId="0" fontId="13" fillId="0" borderId="0"/>
    <xf numFmtId="165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0" fillId="0" borderId="0">
      <alignment vertical="top"/>
    </xf>
    <xf numFmtId="165" fontId="20" fillId="0" borderId="0" applyFont="0" applyFill="0" applyBorder="0" applyAlignment="0" applyProtection="0">
      <alignment vertical="top"/>
    </xf>
    <xf numFmtId="0" fontId="4" fillId="0" borderId="0"/>
    <xf numFmtId="165" fontId="4" fillId="0" borderId="0" applyFont="0" applyFill="0" applyBorder="0" applyAlignment="0" applyProtection="0"/>
    <xf numFmtId="9" fontId="2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0" fontId="28" fillId="0" borderId="0">
      <alignment vertical="center"/>
    </xf>
    <xf numFmtId="0" fontId="24" fillId="0" borderId="0" applyBorder="0"/>
    <xf numFmtId="165" fontId="24" fillId="0" borderId="0" applyFont="0" applyFill="0" applyBorder="0" applyAlignment="0" applyProtection="0"/>
    <xf numFmtId="0" fontId="7" fillId="0" borderId="0">
      <protection locked="0"/>
    </xf>
    <xf numFmtId="165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0"/>
    <xf numFmtId="0" fontId="7" fillId="0" borderId="0"/>
    <xf numFmtId="0" fontId="7" fillId="0" borderId="0"/>
    <xf numFmtId="0" fontId="1" fillId="0" borderId="0"/>
    <xf numFmtId="0" fontId="24" fillId="0" borderId="0"/>
    <xf numFmtId="0" fontId="29" fillId="0" borderId="0" applyNumberFormat="0" applyFill="0" applyBorder="0" applyAlignment="0" applyProtection="0"/>
    <xf numFmtId="37" fontId="7" fillId="0" borderId="0"/>
    <xf numFmtId="165" fontId="1" fillId="0" borderId="0" applyFont="0" applyFill="0" applyBorder="0" applyAlignment="0" applyProtection="0"/>
    <xf numFmtId="0" fontId="17" fillId="0" borderId="0"/>
    <xf numFmtId="164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/>
    <xf numFmtId="165" fontId="7" fillId="0" borderId="0" applyFont="0" applyFill="0" applyBorder="0" applyAlignment="0" applyProtection="0"/>
    <xf numFmtId="0" fontId="1" fillId="0" borderId="0"/>
    <xf numFmtId="166" fontId="19" fillId="0" borderId="0" applyFont="0" applyFill="0" applyBorder="0" applyAlignment="0" applyProtection="0"/>
    <xf numFmtId="0" fontId="19" fillId="0" borderId="0"/>
    <xf numFmtId="166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37" fontId="7" fillId="0" borderId="0"/>
    <xf numFmtId="0" fontId="7" fillId="0" borderId="0">
      <alignment vertical="center"/>
    </xf>
    <xf numFmtId="165" fontId="1" fillId="0" borderId="0" applyFont="0" applyFill="0" applyBorder="0" applyAlignment="0" applyProtection="0"/>
    <xf numFmtId="0" fontId="1" fillId="0" borderId="0"/>
    <xf numFmtId="0" fontId="26" fillId="0" borderId="0"/>
    <xf numFmtId="0" fontId="7" fillId="0" borderId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44" fillId="0" borderId="0"/>
    <xf numFmtId="0" fontId="21" fillId="0" borderId="0"/>
    <xf numFmtId="0" fontId="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8" fillId="0" borderId="0"/>
    <xf numFmtId="0" fontId="5" fillId="0" borderId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21" fillId="0" borderId="0"/>
    <xf numFmtId="0" fontId="25" fillId="0" borderId="0"/>
    <xf numFmtId="0" fontId="8" fillId="0" borderId="0"/>
  </cellStyleXfs>
  <cellXfs count="348">
    <xf numFmtId="0" fontId="0" fillId="0" borderId="0" xfId="0"/>
    <xf numFmtId="0" fontId="0" fillId="0" borderId="0" xfId="0" applyAlignment="1">
      <alignment vertical="center"/>
    </xf>
    <xf numFmtId="0" fontId="3" fillId="4" borderId="0" xfId="0" applyFont="1" applyFill="1" applyAlignment="1">
      <alignment vertical="center" wrapText="1"/>
    </xf>
    <xf numFmtId="0" fontId="5" fillId="0" borderId="0" xfId="0" applyFont="1"/>
    <xf numFmtId="167" fontId="5" fillId="0" borderId="0" xfId="1" applyNumberFormat="1" applyFont="1"/>
    <xf numFmtId="167" fontId="5" fillId="0" borderId="0" xfId="0" applyNumberFormat="1" applyFont="1"/>
    <xf numFmtId="0" fontId="11" fillId="4" borderId="0" xfId="0" applyFont="1" applyFill="1"/>
    <xf numFmtId="0" fontId="11" fillId="4" borderId="0" xfId="0" applyFont="1" applyFill="1" applyAlignment="1">
      <alignment wrapText="1"/>
    </xf>
    <xf numFmtId="0" fontId="11" fillId="4" borderId="0" xfId="0" applyFont="1" applyFill="1" applyAlignment="1">
      <alignment vertical="center"/>
    </xf>
    <xf numFmtId="0" fontId="11" fillId="4" borderId="0" xfId="0" applyFont="1" applyFill="1" applyAlignment="1">
      <alignment vertical="center" wrapText="1"/>
    </xf>
    <xf numFmtId="0" fontId="10" fillId="5" borderId="0" xfId="0" applyFont="1" applyFill="1" applyAlignment="1">
      <alignment wrapText="1"/>
    </xf>
    <xf numFmtId="167" fontId="0" fillId="0" borderId="0" xfId="1" applyNumberFormat="1" applyFont="1"/>
    <xf numFmtId="10" fontId="0" fillId="0" borderId="0" xfId="2" applyNumberFormat="1" applyFont="1"/>
    <xf numFmtId="14" fontId="0" fillId="0" borderId="0" xfId="0" applyNumberFormat="1"/>
    <xf numFmtId="167" fontId="30" fillId="2" borderId="2" xfId="0" applyNumberFormat="1" applyFont="1" applyFill="1" applyBorder="1" applyAlignment="1">
      <alignment vertical="center" wrapText="1"/>
    </xf>
    <xf numFmtId="167" fontId="30" fillId="2" borderId="3" xfId="0" applyNumberFormat="1" applyFont="1" applyFill="1" applyBorder="1" applyAlignment="1">
      <alignment vertical="center" wrapText="1"/>
    </xf>
    <xf numFmtId="172" fontId="30" fillId="2" borderId="3" xfId="0" applyNumberFormat="1" applyFont="1" applyFill="1" applyBorder="1" applyAlignment="1">
      <alignment vertical="center" wrapText="1"/>
    </xf>
    <xf numFmtId="167" fontId="30" fillId="2" borderId="4" xfId="1" applyNumberFormat="1" applyFont="1" applyFill="1" applyBorder="1" applyAlignment="1">
      <alignment vertical="center" wrapText="1"/>
    </xf>
    <xf numFmtId="167" fontId="9" fillId="0" borderId="10" xfId="0" applyNumberFormat="1" applyFont="1" applyBorder="1"/>
    <xf numFmtId="167" fontId="9" fillId="0" borderId="11" xfId="0" applyNumberFormat="1" applyFont="1" applyBorder="1"/>
    <xf numFmtId="167" fontId="9" fillId="0" borderId="11" xfId="1" applyNumberFormat="1" applyFont="1" applyBorder="1" applyAlignment="1"/>
    <xf numFmtId="167" fontId="9" fillId="0" borderId="11" xfId="1" applyNumberFormat="1" applyFont="1" applyFill="1" applyBorder="1"/>
    <xf numFmtId="167" fontId="9" fillId="0" borderId="11" xfId="1" applyNumberFormat="1" applyFont="1" applyBorder="1"/>
    <xf numFmtId="172" fontId="9" fillId="0" borderId="5" xfId="0" applyNumberFormat="1" applyFont="1" applyBorder="1"/>
    <xf numFmtId="10" fontId="9" fillId="0" borderId="5" xfId="2" applyNumberFormat="1" applyFont="1" applyBorder="1"/>
    <xf numFmtId="167" fontId="9" fillId="0" borderId="5" xfId="2" applyNumberFormat="1" applyFont="1" applyBorder="1"/>
    <xf numFmtId="167" fontId="9" fillId="0" borderId="5" xfId="0" applyNumberFormat="1" applyFont="1" applyBorder="1"/>
    <xf numFmtId="172" fontId="9" fillId="0" borderId="5" xfId="1" applyNumberFormat="1" applyFont="1" applyBorder="1"/>
    <xf numFmtId="172" fontId="9" fillId="0" borderId="0" xfId="2" applyNumberFormat="1" applyFont="1" applyBorder="1"/>
    <xf numFmtId="167" fontId="9" fillId="0" borderId="5" xfId="1" applyNumberFormat="1" applyFont="1" applyBorder="1"/>
    <xf numFmtId="167" fontId="9" fillId="0" borderId="6" xfId="1" applyNumberFormat="1" applyFont="1" applyBorder="1"/>
    <xf numFmtId="172" fontId="9" fillId="0" borderId="11" xfId="2" applyNumberFormat="1" applyFont="1" applyBorder="1"/>
    <xf numFmtId="167" fontId="9" fillId="5" borderId="10" xfId="0" applyNumberFormat="1" applyFont="1" applyFill="1" applyBorder="1"/>
    <xf numFmtId="167" fontId="9" fillId="5" borderId="11" xfId="0" applyNumberFormat="1" applyFont="1" applyFill="1" applyBorder="1"/>
    <xf numFmtId="167" fontId="9" fillId="5" borderId="11" xfId="1" applyNumberFormat="1" applyFont="1" applyFill="1" applyBorder="1" applyAlignment="1"/>
    <xf numFmtId="167" fontId="9" fillId="5" borderId="11" xfId="1" applyNumberFormat="1" applyFont="1" applyFill="1" applyBorder="1"/>
    <xf numFmtId="172" fontId="9" fillId="5" borderId="5" xfId="0" applyNumberFormat="1" applyFont="1" applyFill="1" applyBorder="1"/>
    <xf numFmtId="10" fontId="9" fillId="5" borderId="5" xfId="2" applyNumberFormat="1" applyFont="1" applyFill="1" applyBorder="1"/>
    <xf numFmtId="167" fontId="9" fillId="5" borderId="5" xfId="2" applyNumberFormat="1" applyFont="1" applyFill="1" applyBorder="1"/>
    <xf numFmtId="167" fontId="9" fillId="5" borderId="5" xfId="0" applyNumberFormat="1" applyFont="1" applyFill="1" applyBorder="1"/>
    <xf numFmtId="172" fontId="9" fillId="5" borderId="5" xfId="1" applyNumberFormat="1" applyFont="1" applyFill="1" applyBorder="1"/>
    <xf numFmtId="172" fontId="9" fillId="5" borderId="11" xfId="0" applyNumberFormat="1" applyFont="1" applyFill="1" applyBorder="1"/>
    <xf numFmtId="167" fontId="9" fillId="5" borderId="5" xfId="1" applyNumberFormat="1" applyFont="1" applyFill="1" applyBorder="1"/>
    <xf numFmtId="167" fontId="9" fillId="5" borderId="6" xfId="1" applyNumberFormat="1" applyFont="1" applyFill="1" applyBorder="1"/>
    <xf numFmtId="172" fontId="9" fillId="0" borderId="11" xfId="0" applyNumberFormat="1" applyFont="1" applyBorder="1"/>
    <xf numFmtId="167" fontId="9" fillId="0" borderId="11" xfId="1" applyNumberFormat="1" applyFont="1" applyFill="1" applyBorder="1" applyAlignment="1"/>
    <xf numFmtId="10" fontId="9" fillId="0" borderId="5" xfId="2" applyNumberFormat="1" applyFont="1" applyFill="1" applyBorder="1"/>
    <xf numFmtId="167" fontId="9" fillId="0" borderId="5" xfId="2" applyNumberFormat="1" applyFont="1" applyFill="1" applyBorder="1"/>
    <xf numFmtId="172" fontId="9" fillId="0" borderId="5" xfId="1" applyNumberFormat="1" applyFont="1" applyFill="1" applyBorder="1"/>
    <xf numFmtId="172" fontId="9" fillId="0" borderId="11" xfId="2" applyNumberFormat="1" applyFont="1" applyFill="1" applyBorder="1"/>
    <xf numFmtId="167" fontId="9" fillId="0" borderId="5" xfId="1" applyNumberFormat="1" applyFont="1" applyFill="1" applyBorder="1"/>
    <xf numFmtId="167" fontId="9" fillId="0" borderId="6" xfId="1" applyNumberFormat="1" applyFont="1" applyFill="1" applyBorder="1"/>
    <xf numFmtId="167" fontId="9" fillId="0" borderId="11" xfId="0" applyNumberFormat="1" applyFont="1" applyBorder="1" applyAlignment="1">
      <alignment horizontal="left"/>
    </xf>
    <xf numFmtId="10" fontId="9" fillId="0" borderId="11" xfId="2" applyNumberFormat="1" applyFont="1" applyBorder="1"/>
    <xf numFmtId="172" fontId="9" fillId="0" borderId="11" xfId="2" applyNumberFormat="1" applyFont="1" applyBorder="1" applyAlignment="1">
      <alignment horizontal="right"/>
    </xf>
    <xf numFmtId="167" fontId="9" fillId="0" borderId="12" xfId="0" applyNumberFormat="1" applyFont="1" applyBorder="1"/>
    <xf numFmtId="167" fontId="9" fillId="0" borderId="13" xfId="0" applyNumberFormat="1" applyFont="1" applyBorder="1"/>
    <xf numFmtId="167" fontId="9" fillId="0" borderId="13" xfId="1" applyNumberFormat="1" applyFont="1" applyBorder="1" applyAlignment="1"/>
    <xf numFmtId="167" fontId="9" fillId="0" borderId="13" xfId="1" applyNumberFormat="1" applyFont="1" applyFill="1" applyBorder="1"/>
    <xf numFmtId="167" fontId="9" fillId="0" borderId="13" xfId="1" applyNumberFormat="1" applyFont="1" applyBorder="1"/>
    <xf numFmtId="172" fontId="9" fillId="0" borderId="7" xfId="0" applyNumberFormat="1" applyFont="1" applyBorder="1"/>
    <xf numFmtId="172" fontId="9" fillId="0" borderId="13" xfId="0" applyNumberFormat="1" applyFont="1" applyBorder="1"/>
    <xf numFmtId="10" fontId="9" fillId="0" borderId="13" xfId="2" applyNumberFormat="1" applyFont="1" applyBorder="1"/>
    <xf numFmtId="167" fontId="9" fillId="0" borderId="7" xfId="2" applyNumberFormat="1" applyFont="1" applyBorder="1"/>
    <xf numFmtId="167" fontId="9" fillId="0" borderId="7" xfId="0" applyNumberFormat="1" applyFont="1" applyBorder="1"/>
    <xf numFmtId="172" fontId="9" fillId="0" borderId="7" xfId="1" applyNumberFormat="1" applyFont="1" applyBorder="1"/>
    <xf numFmtId="172" fontId="9" fillId="0" borderId="13" xfId="2" applyNumberFormat="1" applyFont="1" applyBorder="1"/>
    <xf numFmtId="167" fontId="9" fillId="0" borderId="7" xfId="1" applyNumberFormat="1" applyFont="1" applyBorder="1"/>
    <xf numFmtId="167" fontId="9" fillId="0" borderId="8" xfId="1" applyNumberFormat="1" applyFont="1" applyBorder="1"/>
    <xf numFmtId="167" fontId="9" fillId="0" borderId="0" xfId="0" applyNumberFormat="1" applyFont="1"/>
    <xf numFmtId="0" fontId="9" fillId="0" borderId="0" xfId="0" applyFont="1"/>
    <xf numFmtId="172" fontId="31" fillId="0" borderId="0" xfId="0" applyNumberFormat="1" applyFont="1"/>
    <xf numFmtId="172" fontId="9" fillId="0" borderId="0" xfId="0" applyNumberFormat="1" applyFont="1"/>
    <xf numFmtId="10" fontId="9" fillId="0" borderId="0" xfId="2" applyNumberFormat="1" applyFont="1"/>
    <xf numFmtId="0" fontId="32" fillId="2" borderId="0" xfId="0" applyFont="1" applyFill="1" applyAlignment="1">
      <alignment vertical="center"/>
    </xf>
    <xf numFmtId="173" fontId="32" fillId="2" borderId="0" xfId="1" applyNumberFormat="1" applyFont="1" applyFill="1" applyBorder="1" applyAlignment="1">
      <alignment vertical="center"/>
    </xf>
    <xf numFmtId="167" fontId="32" fillId="8" borderId="0" xfId="1" applyNumberFormat="1" applyFont="1" applyFill="1" applyBorder="1" applyAlignment="1">
      <alignment vertical="center"/>
    </xf>
    <xf numFmtId="0" fontId="33" fillId="9" borderId="0" xfId="0" applyFont="1" applyFill="1" applyAlignment="1">
      <alignment horizontal="center"/>
    </xf>
    <xf numFmtId="166" fontId="33" fillId="10" borderId="0" xfId="4" applyFont="1" applyFill="1" applyAlignment="1">
      <alignment horizontal="center"/>
    </xf>
    <xf numFmtId="0" fontId="33" fillId="10" borderId="0" xfId="0" applyFont="1" applyFill="1" applyAlignment="1">
      <alignment horizontal="center"/>
    </xf>
    <xf numFmtId="0" fontId="34" fillId="0" borderId="0" xfId="0" applyFont="1" applyAlignment="1">
      <alignment horizontal="center"/>
    </xf>
    <xf numFmtId="0" fontId="34" fillId="0" borderId="0" xfId="0" applyFont="1"/>
    <xf numFmtId="14" fontId="35" fillId="0" borderId="0" xfId="0" applyNumberFormat="1" applyFont="1" applyAlignment="1">
      <alignment horizontal="center"/>
    </xf>
    <xf numFmtId="0" fontId="35" fillId="0" borderId="0" xfId="0" applyFont="1"/>
    <xf numFmtId="3" fontId="36" fillId="0" borderId="0" xfId="0" applyNumberFormat="1" applyFont="1"/>
    <xf numFmtId="3" fontId="37" fillId="0" borderId="0" xfId="0" applyNumberFormat="1" applyFont="1"/>
    <xf numFmtId="0" fontId="34" fillId="11" borderId="0" xfId="0" applyFont="1" applyFill="1" applyAlignment="1">
      <alignment horizontal="left"/>
    </xf>
    <xf numFmtId="14" fontId="38" fillId="11" borderId="0" xfId="0" applyNumberFormat="1" applyFont="1" applyFill="1" applyAlignment="1">
      <alignment horizontal="center"/>
    </xf>
    <xf numFmtId="0" fontId="38" fillId="11" borderId="0" xfId="0" applyFont="1" applyFill="1"/>
    <xf numFmtId="0" fontId="37" fillId="11" borderId="0" xfId="0" applyFont="1" applyFill="1"/>
    <xf numFmtId="3" fontId="37" fillId="3" borderId="0" xfId="0" applyNumberFormat="1" applyFont="1" applyFill="1"/>
    <xf numFmtId="0" fontId="0" fillId="3" borderId="0" xfId="0" applyFill="1"/>
    <xf numFmtId="14" fontId="35" fillId="3" borderId="0" xfId="0" applyNumberFormat="1" applyFont="1" applyFill="1" applyAlignment="1">
      <alignment horizontal="center"/>
    </xf>
    <xf numFmtId="0" fontId="38" fillId="3" borderId="0" xfId="0" applyFont="1" applyFill="1"/>
    <xf numFmtId="0" fontId="35" fillId="3" borderId="0" xfId="0" applyFont="1" applyFill="1"/>
    <xf numFmtId="3" fontId="36" fillId="3" borderId="0" xfId="0" applyNumberFormat="1" applyFont="1" applyFill="1"/>
    <xf numFmtId="10" fontId="35" fillId="0" borderId="0" xfId="0" applyNumberFormat="1" applyFont="1"/>
    <xf numFmtId="14" fontId="35" fillId="0" borderId="0" xfId="0" applyNumberFormat="1" applyFont="1"/>
    <xf numFmtId="10" fontId="38" fillId="0" borderId="0" xfId="0" applyNumberFormat="1" applyFont="1"/>
    <xf numFmtId="14" fontId="38" fillId="0" borderId="0" xfId="0" applyNumberFormat="1" applyFont="1"/>
    <xf numFmtId="0" fontId="38" fillId="0" borderId="0" xfId="0" applyFont="1"/>
    <xf numFmtId="14" fontId="38" fillId="0" borderId="0" xfId="0" applyNumberFormat="1" applyFont="1" applyAlignment="1">
      <alignment horizontal="center"/>
    </xf>
    <xf numFmtId="0" fontId="37" fillId="0" borderId="0" xfId="0" applyFont="1"/>
    <xf numFmtId="0" fontId="34" fillId="3" borderId="0" xfId="0" applyFont="1" applyFill="1"/>
    <xf numFmtId="0" fontId="35" fillId="0" borderId="0" xfId="0" quotePrefix="1" applyFont="1"/>
    <xf numFmtId="0" fontId="35" fillId="0" borderId="0" xfId="0" applyFont="1" applyAlignment="1">
      <alignment horizontal="left"/>
    </xf>
    <xf numFmtId="167" fontId="36" fillId="0" borderId="0" xfId="1" applyNumberFormat="1" applyFont="1"/>
    <xf numFmtId="167" fontId="37" fillId="11" borderId="0" xfId="1" applyNumberFormat="1" applyFont="1" applyFill="1"/>
    <xf numFmtId="167" fontId="37" fillId="12" borderId="0" xfId="1" applyNumberFormat="1" applyFont="1" applyFill="1"/>
    <xf numFmtId="167" fontId="37" fillId="3" borderId="0" xfId="1" applyNumberFormat="1" applyFont="1" applyFill="1"/>
    <xf numFmtId="167" fontId="37" fillId="0" borderId="0" xfId="1" applyNumberFormat="1" applyFont="1"/>
    <xf numFmtId="167" fontId="36" fillId="3" borderId="0" xfId="1" applyNumberFormat="1" applyFont="1" applyFill="1"/>
    <xf numFmtId="167" fontId="36" fillId="0" borderId="0" xfId="1" applyNumberFormat="1" applyFont="1" applyAlignment="1">
      <alignment horizontal="right"/>
    </xf>
    <xf numFmtId="167" fontId="40" fillId="0" borderId="0" xfId="1" applyNumberFormat="1" applyFont="1"/>
    <xf numFmtId="167" fontId="41" fillId="0" borderId="0" xfId="1" applyNumberFormat="1" applyFont="1"/>
    <xf numFmtId="167" fontId="39" fillId="11" borderId="0" xfId="1" applyNumberFormat="1" applyFont="1" applyFill="1"/>
    <xf numFmtId="172" fontId="9" fillId="0" borderId="14" xfId="0" applyNumberFormat="1" applyFont="1" applyBorder="1"/>
    <xf numFmtId="167" fontId="9" fillId="0" borderId="0" xfId="1" applyNumberFormat="1" applyFont="1" applyBorder="1"/>
    <xf numFmtId="167" fontId="9" fillId="5" borderId="0" xfId="1" applyNumberFormat="1" applyFont="1" applyFill="1" applyBorder="1"/>
    <xf numFmtId="167" fontId="9" fillId="0" borderId="0" xfId="1" applyNumberFormat="1" applyFont="1" applyFill="1" applyBorder="1"/>
    <xf numFmtId="167" fontId="9" fillId="0" borderId="14" xfId="1" applyNumberFormat="1" applyFont="1" applyBorder="1"/>
    <xf numFmtId="0" fontId="4" fillId="0" borderId="0" xfId="0" applyFont="1"/>
    <xf numFmtId="167" fontId="45" fillId="0" borderId="0" xfId="1" applyNumberFormat="1" applyFont="1"/>
    <xf numFmtId="10" fontId="4" fillId="0" borderId="0" xfId="2" applyNumberFormat="1" applyFont="1"/>
    <xf numFmtId="14" fontId="4" fillId="0" borderId="0" xfId="0" applyNumberFormat="1" applyFont="1"/>
    <xf numFmtId="167" fontId="4" fillId="0" borderId="0" xfId="1" applyNumberFormat="1" applyFont="1"/>
    <xf numFmtId="167" fontId="4" fillId="0" borderId="0" xfId="0" applyNumberFormat="1" applyFont="1"/>
    <xf numFmtId="14" fontId="45" fillId="0" borderId="0" xfId="0" applyNumberFormat="1" applyFont="1"/>
    <xf numFmtId="10" fontId="4" fillId="0" borderId="0" xfId="0" applyNumberFormat="1" applyFont="1"/>
    <xf numFmtId="167" fontId="7" fillId="0" borderId="0" xfId="1" applyNumberFormat="1" applyFont="1" applyFill="1" applyBorder="1"/>
    <xf numFmtId="43" fontId="4" fillId="0" borderId="0" xfId="0" applyNumberFormat="1" applyFont="1"/>
    <xf numFmtId="167" fontId="50" fillId="0" borderId="0" xfId="1" applyNumberFormat="1" applyFont="1"/>
    <xf numFmtId="1" fontId="4" fillId="0" borderId="0" xfId="0" applyNumberFormat="1" applyFont="1"/>
    <xf numFmtId="167" fontId="9" fillId="0" borderId="14" xfId="0" applyNumberFormat="1" applyFont="1" applyBorder="1"/>
    <xf numFmtId="0" fontId="4" fillId="0" borderId="19" xfId="0" applyFont="1" applyBorder="1"/>
    <xf numFmtId="167" fontId="4" fillId="0" borderId="0" xfId="1" applyNumberFormat="1" applyFont="1" applyBorder="1"/>
    <xf numFmtId="10" fontId="4" fillId="0" borderId="0" xfId="2" applyNumberFormat="1" applyFont="1" applyBorder="1"/>
    <xf numFmtId="167" fontId="4" fillId="0" borderId="17" xfId="1" applyNumberFormat="1" applyFont="1" applyBorder="1"/>
    <xf numFmtId="14" fontId="4" fillId="5" borderId="0" xfId="0" applyNumberFormat="1" applyFont="1" applyFill="1"/>
    <xf numFmtId="171" fontId="4" fillId="0" borderId="0" xfId="2" applyNumberFormat="1" applyFont="1" applyBorder="1"/>
    <xf numFmtId="167" fontId="4" fillId="0" borderId="0" xfId="1" applyNumberFormat="1" applyFont="1" applyFill="1" applyBorder="1"/>
    <xf numFmtId="167" fontId="4" fillId="0" borderId="17" xfId="1" applyNumberFormat="1" applyFont="1" applyFill="1" applyBorder="1"/>
    <xf numFmtId="10" fontId="37" fillId="0" borderId="0" xfId="2" applyNumberFormat="1" applyFont="1" applyBorder="1"/>
    <xf numFmtId="167" fontId="5" fillId="0" borderId="0" xfId="1" applyNumberFormat="1" applyFont="1" applyBorder="1"/>
    <xf numFmtId="0" fontId="4" fillId="0" borderId="20" xfId="0" applyFont="1" applyBorder="1"/>
    <xf numFmtId="0" fontId="4" fillId="0" borderId="14" xfId="0" applyFont="1" applyBorder="1"/>
    <xf numFmtId="167" fontId="5" fillId="0" borderId="14" xfId="1" applyNumberFormat="1" applyFont="1" applyBorder="1"/>
    <xf numFmtId="167" fontId="4" fillId="0" borderId="14" xfId="1" applyNumberFormat="1" applyFont="1" applyBorder="1"/>
    <xf numFmtId="10" fontId="4" fillId="0" borderId="14" xfId="2" applyNumberFormat="1" applyFont="1" applyBorder="1"/>
    <xf numFmtId="14" fontId="4" fillId="0" borderId="14" xfId="0" applyNumberFormat="1" applyFont="1" applyBorder="1"/>
    <xf numFmtId="167" fontId="4" fillId="0" borderId="18" xfId="1" applyNumberFormat="1" applyFont="1" applyBorder="1"/>
    <xf numFmtId="14" fontId="4" fillId="0" borderId="19" xfId="0" applyNumberFormat="1" applyFont="1" applyBorder="1"/>
    <xf numFmtId="0" fontId="4" fillId="0" borderId="17" xfId="0" applyFont="1" applyBorder="1"/>
    <xf numFmtId="14" fontId="4" fillId="0" borderId="20" xfId="0" applyNumberFormat="1" applyFont="1" applyBorder="1"/>
    <xf numFmtId="10" fontId="4" fillId="0" borderId="14" xfId="0" applyNumberFormat="1" applyFont="1" applyBorder="1"/>
    <xf numFmtId="0" fontId="4" fillId="0" borderId="18" xfId="0" applyFont="1" applyBorder="1"/>
    <xf numFmtId="167" fontId="7" fillId="0" borderId="19" xfId="1" applyNumberFormat="1" applyFont="1" applyBorder="1"/>
    <xf numFmtId="167" fontId="7" fillId="0" borderId="0" xfId="1" applyNumberFormat="1" applyFont="1" applyBorder="1"/>
    <xf numFmtId="167" fontId="5" fillId="0" borderId="0" xfId="0" applyNumberFormat="1" applyFont="1" applyAlignment="1">
      <alignment horizontal="left"/>
    </xf>
    <xf numFmtId="167" fontId="5" fillId="0" borderId="19" xfId="1" applyNumberFormat="1" applyFont="1" applyBorder="1"/>
    <xf numFmtId="167" fontId="4" fillId="0" borderId="19" xfId="1" applyNumberFormat="1" applyFont="1" applyBorder="1"/>
    <xf numFmtId="167" fontId="4" fillId="0" borderId="19" xfId="1" applyNumberFormat="1" applyFont="1" applyFill="1" applyBorder="1"/>
    <xf numFmtId="167" fontId="4" fillId="0" borderId="20" xfId="1" applyNumberFormat="1" applyFont="1" applyBorder="1"/>
    <xf numFmtId="167" fontId="4" fillId="0" borderId="14" xfId="0" applyNumberFormat="1" applyFont="1" applyBorder="1"/>
    <xf numFmtId="1" fontId="4" fillId="0" borderId="0" xfId="1" applyNumberFormat="1" applyFont="1" applyBorder="1"/>
    <xf numFmtId="167" fontId="4" fillId="0" borderId="17" xfId="0" applyNumberFormat="1" applyFont="1" applyBorder="1"/>
    <xf numFmtId="1" fontId="4" fillId="0" borderId="0" xfId="1" applyNumberFormat="1" applyFont="1" applyFill="1" applyBorder="1"/>
    <xf numFmtId="1" fontId="4" fillId="0" borderId="14" xfId="1" applyNumberFormat="1" applyFont="1" applyBorder="1"/>
    <xf numFmtId="167" fontId="4" fillId="0" borderId="18" xfId="0" applyNumberFormat="1" applyFont="1" applyBorder="1"/>
    <xf numFmtId="167" fontId="6" fillId="5" borderId="16" xfId="0" applyNumberFormat="1" applyFont="1" applyFill="1" applyBorder="1" applyAlignment="1">
      <alignment horizontal="center" vertical="center"/>
    </xf>
    <xf numFmtId="167" fontId="50" fillId="0" borderId="0" xfId="1" applyNumberFormat="1" applyFont="1" applyAlignment="1">
      <alignment horizontal="right"/>
    </xf>
    <xf numFmtId="167" fontId="9" fillId="0" borderId="0" xfId="1" applyNumberFormat="1" applyFont="1" applyFill="1"/>
    <xf numFmtId="167" fontId="31" fillId="0" borderId="0" xfId="1" applyNumberFormat="1" applyFont="1" applyFill="1"/>
    <xf numFmtId="167" fontId="0" fillId="0" borderId="0" xfId="0" applyNumberFormat="1"/>
    <xf numFmtId="167" fontId="4" fillId="0" borderId="26" xfId="1" applyNumberFormat="1" applyFont="1" applyBorder="1"/>
    <xf numFmtId="167" fontId="4" fillId="0" borderId="26" xfId="1" applyNumberFormat="1" applyFont="1" applyFill="1" applyBorder="1"/>
    <xf numFmtId="167" fontId="4" fillId="0" borderId="27" xfId="1" applyNumberFormat="1" applyFont="1" applyBorder="1"/>
    <xf numFmtId="167" fontId="6" fillId="5" borderId="28" xfId="0" applyNumberFormat="1" applyFont="1" applyFill="1" applyBorder="1" applyAlignment="1">
      <alignment horizontal="center" vertical="center" wrapText="1"/>
    </xf>
    <xf numFmtId="167" fontId="6" fillId="5" borderId="29" xfId="0" applyNumberFormat="1" applyFont="1" applyFill="1" applyBorder="1" applyAlignment="1">
      <alignment horizontal="center" vertical="center" wrapText="1"/>
    </xf>
    <xf numFmtId="167" fontId="6" fillId="5" borderId="30" xfId="0" applyNumberFormat="1" applyFont="1" applyFill="1" applyBorder="1" applyAlignment="1">
      <alignment horizontal="center" vertical="center" wrapText="1"/>
    </xf>
    <xf numFmtId="167" fontId="4" fillId="0" borderId="31" xfId="1" applyNumberFormat="1" applyFont="1" applyBorder="1"/>
    <xf numFmtId="167" fontId="4" fillId="0" borderId="32" xfId="1" applyNumberFormat="1" applyFont="1" applyBorder="1"/>
    <xf numFmtId="167" fontId="4" fillId="0" borderId="31" xfId="1" applyNumberFormat="1" applyFont="1" applyFill="1" applyBorder="1"/>
    <xf numFmtId="167" fontId="4" fillId="0" borderId="32" xfId="1" applyNumberFormat="1" applyFont="1" applyFill="1" applyBorder="1"/>
    <xf numFmtId="167" fontId="4" fillId="0" borderId="33" xfId="1" applyNumberFormat="1" applyFont="1" applyBorder="1"/>
    <xf numFmtId="167" fontId="4" fillId="0" borderId="34" xfId="0" applyNumberFormat="1" applyFont="1" applyBorder="1"/>
    <xf numFmtId="167" fontId="4" fillId="0" borderId="35" xfId="1" applyNumberFormat="1" applyFont="1" applyBorder="1"/>
    <xf numFmtId="167" fontId="48" fillId="2" borderId="0" xfId="1" applyNumberFormat="1" applyFont="1" applyFill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48" fillId="2" borderId="15" xfId="0" applyFont="1" applyFill="1" applyBorder="1" applyAlignment="1">
      <alignment horizontal="center" vertical="center" wrapText="1"/>
    </xf>
    <xf numFmtId="0" fontId="11" fillId="4" borderId="21" xfId="0" applyFont="1" applyFill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46" fillId="4" borderId="15" xfId="0" applyFont="1" applyFill="1" applyBorder="1" applyAlignment="1">
      <alignment horizontal="center" vertical="center" wrapText="1"/>
    </xf>
    <xf numFmtId="0" fontId="46" fillId="4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7" fontId="6" fillId="5" borderId="2" xfId="0" applyNumberFormat="1" applyFont="1" applyFill="1" applyBorder="1" applyAlignment="1">
      <alignment horizontal="center" vertical="center" wrapText="1"/>
    </xf>
    <xf numFmtId="167" fontId="6" fillId="5" borderId="3" xfId="0" applyNumberFormat="1" applyFont="1" applyFill="1" applyBorder="1" applyAlignment="1">
      <alignment horizontal="center" vertical="center" wrapText="1"/>
    </xf>
    <xf numFmtId="167" fontId="6" fillId="5" borderId="3" xfId="0" applyNumberFormat="1" applyFont="1" applyFill="1" applyBorder="1" applyAlignment="1">
      <alignment horizontal="center" vertical="center"/>
    </xf>
    <xf numFmtId="167" fontId="6" fillId="5" borderId="23" xfId="0" applyNumberFormat="1" applyFont="1" applyFill="1" applyBorder="1" applyAlignment="1">
      <alignment horizontal="center" vertical="center" wrapText="1"/>
    </xf>
    <xf numFmtId="167" fontId="6" fillId="5" borderId="25" xfId="0" applyNumberFormat="1" applyFont="1" applyFill="1" applyBorder="1" applyAlignment="1">
      <alignment horizontal="center" vertical="center" wrapText="1"/>
    </xf>
    <xf numFmtId="167" fontId="6" fillId="5" borderId="24" xfId="0" applyNumberFormat="1" applyFont="1" applyFill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0" fontId="6" fillId="2" borderId="2" xfId="1" applyNumberFormat="1" applyFont="1" applyFill="1" applyBorder="1" applyAlignment="1">
      <alignment horizontal="center" vertical="center" wrapText="1"/>
    </xf>
    <xf numFmtId="167" fontId="6" fillId="2" borderId="3" xfId="1" applyNumberFormat="1" applyFont="1" applyFill="1" applyBorder="1" applyAlignment="1">
      <alignment horizontal="center" vertical="center" wrapText="1"/>
    </xf>
    <xf numFmtId="167" fontId="6" fillId="5" borderId="16" xfId="1" applyNumberFormat="1" applyFont="1" applyFill="1" applyBorder="1" applyAlignment="1">
      <alignment horizontal="center" vertical="center" wrapText="1"/>
    </xf>
    <xf numFmtId="167" fontId="6" fillId="2" borderId="4" xfId="1" applyNumberFormat="1" applyFont="1" applyFill="1" applyBorder="1" applyAlignment="1">
      <alignment horizontal="center" vertical="center" wrapText="1"/>
    </xf>
    <xf numFmtId="167" fontId="6" fillId="5" borderId="22" xfId="1" applyNumberFormat="1" applyFont="1" applyFill="1" applyBorder="1" applyAlignment="1">
      <alignment horizontal="center" vertical="center" wrapText="1"/>
    </xf>
    <xf numFmtId="167" fontId="6" fillId="5" borderId="5" xfId="1" applyNumberFormat="1" applyFont="1" applyFill="1" applyBorder="1" applyAlignment="1">
      <alignment horizontal="center" vertical="center" wrapText="1"/>
    </xf>
    <xf numFmtId="167" fontId="6" fillId="2" borderId="2" xfId="1" applyNumberFormat="1" applyFont="1" applyFill="1" applyBorder="1" applyAlignment="1">
      <alignment horizontal="center" vertical="center" wrapText="1"/>
    </xf>
    <xf numFmtId="167" fontId="6" fillId="2" borderId="15" xfId="1" applyNumberFormat="1" applyFont="1" applyFill="1" applyBorder="1" applyAlignment="1">
      <alignment horizontal="center" vertical="center" wrapText="1"/>
    </xf>
    <xf numFmtId="167" fontId="6" fillId="2" borderId="16" xfId="1" applyNumberFormat="1" applyFont="1" applyFill="1" applyBorder="1" applyAlignment="1">
      <alignment horizontal="center" vertical="center" wrapText="1"/>
    </xf>
    <xf numFmtId="167" fontId="6" fillId="2" borderId="21" xfId="0" applyNumberFormat="1" applyFont="1" applyFill="1" applyBorder="1" applyAlignment="1">
      <alignment horizontal="center" vertical="center" wrapText="1"/>
    </xf>
    <xf numFmtId="1" fontId="6" fillId="2" borderId="15" xfId="0" applyNumberFormat="1" applyFont="1" applyFill="1" applyBorder="1" applyAlignment="1">
      <alignment horizontal="center" vertical="center" wrapText="1"/>
    </xf>
    <xf numFmtId="167" fontId="6" fillId="2" borderId="15" xfId="0" applyNumberFormat="1" applyFont="1" applyFill="1" applyBorder="1" applyAlignment="1">
      <alignment horizontal="center" vertical="center" wrapText="1"/>
    </xf>
    <xf numFmtId="10" fontId="4" fillId="0" borderId="0" xfId="2" applyNumberFormat="1" applyFont="1" applyAlignment="1">
      <alignment horizontal="center"/>
    </xf>
    <xf numFmtId="14" fontId="53" fillId="0" borderId="0" xfId="0" applyNumberFormat="1" applyFont="1"/>
    <xf numFmtId="10" fontId="33" fillId="10" borderId="0" xfId="2" applyNumberFormat="1" applyFont="1" applyFill="1" applyAlignment="1">
      <alignment horizontal="center"/>
    </xf>
    <xf numFmtId="10" fontId="37" fillId="0" borderId="0" xfId="2" applyNumberFormat="1" applyFont="1"/>
    <xf numFmtId="167" fontId="55" fillId="0" borderId="0" xfId="1" applyNumberFormat="1" applyFont="1"/>
    <xf numFmtId="14" fontId="36" fillId="0" borderId="0" xfId="1" applyNumberFormat="1" applyFont="1"/>
    <xf numFmtId="10" fontId="4" fillId="0" borderId="0" xfId="2" applyNumberFormat="1" applyFont="1" applyFill="1" applyBorder="1"/>
    <xf numFmtId="167" fontId="7" fillId="0" borderId="19" xfId="1" applyNumberFormat="1" applyFont="1" applyFill="1" applyBorder="1"/>
    <xf numFmtId="167" fontId="5" fillId="0" borderId="0" xfId="1" applyNumberFormat="1" applyFont="1" applyFill="1" applyBorder="1"/>
    <xf numFmtId="167" fontId="4" fillId="0" borderId="0" xfId="1" applyNumberFormat="1" applyFont="1" applyFill="1"/>
    <xf numFmtId="15" fontId="0" fillId="0" borderId="0" xfId="0" applyNumberFormat="1"/>
    <xf numFmtId="167" fontId="5" fillId="0" borderId="19" xfId="1" applyNumberFormat="1" applyFont="1" applyFill="1" applyBorder="1"/>
    <xf numFmtId="167" fontId="25" fillId="0" borderId="0" xfId="1" applyNumberFormat="1" applyFont="1" applyFill="1" applyBorder="1"/>
    <xf numFmtId="10" fontId="49" fillId="0" borderId="0" xfId="2" applyNumberFormat="1" applyFont="1" applyFill="1" applyBorder="1"/>
    <xf numFmtId="167" fontId="48" fillId="2" borderId="0" xfId="0" applyNumberFormat="1" applyFont="1" applyFill="1" applyAlignment="1">
      <alignment horizontal="center"/>
    </xf>
    <xf numFmtId="15" fontId="0" fillId="0" borderId="0" xfId="1" applyNumberFormat="1" applyFont="1" applyAlignment="1">
      <alignment horizontal="center"/>
    </xf>
    <xf numFmtId="15" fontId="0" fillId="5" borderId="0" xfId="1" applyNumberFormat="1" applyFont="1" applyFill="1" applyAlignment="1">
      <alignment horizontal="center"/>
    </xf>
    <xf numFmtId="174" fontId="0" fillId="0" borderId="0" xfId="0" applyNumberFormat="1"/>
    <xf numFmtId="3" fontId="4" fillId="0" borderId="0" xfId="0" applyNumberFormat="1" applyFont="1" applyAlignment="1">
      <alignment horizontal="right" wrapText="1"/>
    </xf>
    <xf numFmtId="14" fontId="4" fillId="0" borderId="0" xfId="0" applyNumberFormat="1" applyFont="1" applyAlignment="1">
      <alignment horizontal="right" wrapText="1"/>
    </xf>
    <xf numFmtId="14" fontId="4" fillId="0" borderId="36" xfId="0" applyNumberFormat="1" applyFont="1" applyBorder="1" applyAlignment="1">
      <alignment horizontal="right" wrapText="1"/>
    </xf>
    <xf numFmtId="3" fontId="57" fillId="0" borderId="0" xfId="0" applyNumberFormat="1" applyFont="1"/>
    <xf numFmtId="3" fontId="4" fillId="0" borderId="0" xfId="0" applyNumberFormat="1" applyFont="1"/>
    <xf numFmtId="167" fontId="54" fillId="0" borderId="0" xfId="1" applyNumberFormat="1" applyFont="1" applyFill="1" applyBorder="1"/>
    <xf numFmtId="167" fontId="50" fillId="0" borderId="19" xfId="1" applyNumberFormat="1" applyFont="1" applyFill="1" applyBorder="1"/>
    <xf numFmtId="0" fontId="25" fillId="0" borderId="0" xfId="0" applyFont="1"/>
    <xf numFmtId="14" fontId="25" fillId="0" borderId="0" xfId="0" applyNumberFormat="1" applyFont="1"/>
    <xf numFmtId="3" fontId="25" fillId="0" borderId="0" xfId="0" applyNumberFormat="1" applyFont="1"/>
    <xf numFmtId="167" fontId="6" fillId="2" borderId="23" xfId="1" applyNumberFormat="1" applyFont="1" applyFill="1" applyBorder="1" applyAlignment="1">
      <alignment horizontal="center" vertical="center" wrapText="1"/>
    </xf>
    <xf numFmtId="167" fontId="6" fillId="2" borderId="37" xfId="1" applyNumberFormat="1" applyFont="1" applyFill="1" applyBorder="1" applyAlignment="1">
      <alignment horizontal="center" vertical="center" wrapText="1"/>
    </xf>
    <xf numFmtId="10" fontId="6" fillId="5" borderId="38" xfId="2" applyNumberFormat="1" applyFont="1" applyFill="1" applyBorder="1" applyAlignment="1">
      <alignment horizontal="center" vertical="center" wrapText="1"/>
    </xf>
    <xf numFmtId="10" fontId="4" fillId="0" borderId="39" xfId="2" applyNumberFormat="1" applyFont="1" applyFill="1" applyBorder="1"/>
    <xf numFmtId="10" fontId="4" fillId="0" borderId="39" xfId="2" applyNumberFormat="1" applyFont="1" applyBorder="1"/>
    <xf numFmtId="10" fontId="4" fillId="0" borderId="40" xfId="2" applyNumberFormat="1" applyFont="1" applyBorder="1"/>
    <xf numFmtId="10" fontId="4" fillId="0" borderId="0" xfId="0" applyNumberFormat="1" applyFont="1" applyAlignment="1">
      <alignment horizontal="right" wrapText="1"/>
    </xf>
    <xf numFmtId="167" fontId="54" fillId="0" borderId="0" xfId="0" applyNumberFormat="1" applyFont="1"/>
    <xf numFmtId="43" fontId="54" fillId="0" borderId="0" xfId="0" applyNumberFormat="1" applyFont="1"/>
    <xf numFmtId="0" fontId="54" fillId="0" borderId="0" xfId="0" applyFont="1"/>
    <xf numFmtId="14" fontId="54" fillId="0" borderId="0" xfId="0" applyNumberFormat="1" applyFont="1"/>
    <xf numFmtId="167" fontId="31" fillId="0" borderId="0" xfId="0" applyNumberFormat="1" applyFont="1"/>
    <xf numFmtId="10" fontId="54" fillId="0" borderId="0" xfId="2" applyNumberFormat="1" applyFont="1" applyFill="1" applyBorder="1"/>
    <xf numFmtId="0" fontId="6" fillId="5" borderId="16" xfId="0" applyFont="1" applyFill="1" applyBorder="1" applyAlignment="1">
      <alignment horizontal="center" vertical="center" wrapText="1"/>
    </xf>
    <xf numFmtId="175" fontId="0" fillId="0" borderId="17" xfId="2" applyNumberFormat="1" applyFont="1" applyBorder="1"/>
    <xf numFmtId="175" fontId="0" fillId="0" borderId="17" xfId="2" applyNumberFormat="1" applyFont="1" applyFill="1" applyBorder="1"/>
    <xf numFmtId="175" fontId="0" fillId="0" borderId="18" xfId="2" applyNumberFormat="1" applyFont="1" applyBorder="1"/>
    <xf numFmtId="167" fontId="5" fillId="0" borderId="41" xfId="1" applyNumberFormat="1" applyFont="1" applyBorder="1"/>
    <xf numFmtId="167" fontId="5" fillId="0" borderId="42" xfId="0" applyNumberFormat="1" applyFont="1" applyBorder="1"/>
    <xf numFmtId="167" fontId="30" fillId="2" borderId="0" xfId="0" applyNumberFormat="1" applyFont="1" applyFill="1" applyAlignment="1">
      <alignment horizontal="center" vertical="center" wrapText="1"/>
    </xf>
    <xf numFmtId="167" fontId="30" fillId="2" borderId="0" xfId="0" applyNumberFormat="1" applyFont="1" applyFill="1" applyAlignment="1">
      <alignment vertical="center" wrapText="1"/>
    </xf>
    <xf numFmtId="167" fontId="30" fillId="2" borderId="0" xfId="0" applyNumberFormat="1" applyFont="1" applyFill="1" applyAlignment="1">
      <alignment horizontal="center" vertical="center"/>
    </xf>
    <xf numFmtId="167" fontId="30" fillId="2" borderId="0" xfId="0" applyNumberFormat="1" applyFont="1" applyFill="1" applyAlignment="1">
      <alignment vertical="center"/>
    </xf>
    <xf numFmtId="167" fontId="31" fillId="0" borderId="19" xfId="1" applyNumberFormat="1" applyFont="1" applyFill="1" applyBorder="1"/>
    <xf numFmtId="167" fontId="31" fillId="0" borderId="0" xfId="1" applyNumberFormat="1" applyFont="1" applyFill="1" applyBorder="1"/>
    <xf numFmtId="167" fontId="56" fillId="0" borderId="0" xfId="1" applyNumberFormat="1" applyFont="1" applyFill="1" applyBorder="1"/>
    <xf numFmtId="167" fontId="9" fillId="0" borderId="0" xfId="2" applyNumberFormat="1" applyFont="1" applyFill="1" applyBorder="1"/>
    <xf numFmtId="3" fontId="0" fillId="0" borderId="0" xfId="0" applyNumberFormat="1"/>
    <xf numFmtId="167" fontId="51" fillId="0" borderId="0" xfId="0" applyNumberFormat="1" applyFont="1"/>
    <xf numFmtId="167" fontId="51" fillId="0" borderId="0" xfId="1" applyNumberFormat="1" applyFont="1"/>
    <xf numFmtId="0" fontId="6" fillId="14" borderId="0" xfId="0" applyFont="1" applyFill="1" applyAlignment="1">
      <alignment horizontal="center" vertical="center" wrapText="1"/>
    </xf>
    <xf numFmtId="14" fontId="11" fillId="13" borderId="0" xfId="0" applyNumberFormat="1" applyFont="1" applyFill="1" applyAlignment="1">
      <alignment horizontal="right" wrapText="1"/>
    </xf>
    <xf numFmtId="14" fontId="11" fillId="15" borderId="0" xfId="0" applyNumberFormat="1" applyFont="1" applyFill="1" applyAlignment="1">
      <alignment horizontal="right" wrapText="1"/>
    </xf>
    <xf numFmtId="0" fontId="10" fillId="0" borderId="0" xfId="0" applyFont="1"/>
    <xf numFmtId="167" fontId="10" fillId="0" borderId="0" xfId="0" applyNumberFormat="1" applyFont="1"/>
    <xf numFmtId="167" fontId="10" fillId="0" borderId="0" xfId="1" applyNumberFormat="1" applyFont="1"/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quotePrefix="1" applyFont="1"/>
    <xf numFmtId="41" fontId="11" fillId="13" borderId="17" xfId="555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/>
    </xf>
    <xf numFmtId="167" fontId="5" fillId="0" borderId="17" xfId="0" applyNumberFormat="1" applyFont="1" applyBorder="1"/>
    <xf numFmtId="0" fontId="5" fillId="0" borderId="19" xfId="0" applyFont="1" applyBorder="1"/>
    <xf numFmtId="0" fontId="5" fillId="0" borderId="17" xfId="0" applyFont="1" applyBorder="1"/>
    <xf numFmtId="0" fontId="5" fillId="0" borderId="20" xfId="0" applyFont="1" applyBorder="1"/>
    <xf numFmtId="0" fontId="5" fillId="0" borderId="14" xfId="0" applyFont="1" applyBorder="1"/>
    <xf numFmtId="0" fontId="5" fillId="0" borderId="18" xfId="0" applyFont="1" applyBorder="1"/>
    <xf numFmtId="41" fontId="11" fillId="13" borderId="21" xfId="554" applyNumberFormat="1" applyFont="1" applyFill="1" applyBorder="1" applyAlignment="1">
      <alignment horizontal="centerContinuous" vertical="center" wrapText="1"/>
    </xf>
    <xf numFmtId="41" fontId="11" fillId="13" borderId="16" xfId="554" applyNumberFormat="1" applyFont="1" applyFill="1" applyBorder="1" applyAlignment="1">
      <alignment horizontal="centerContinuous" vertical="center" wrapText="1"/>
    </xf>
    <xf numFmtId="41" fontId="11" fillId="13" borderId="19" xfId="555" applyFont="1" applyFill="1" applyBorder="1" applyAlignment="1">
      <alignment horizontal="center" vertical="center" wrapText="1"/>
    </xf>
    <xf numFmtId="0" fontId="10" fillId="0" borderId="19" xfId="0" applyFont="1" applyBorder="1"/>
    <xf numFmtId="0" fontId="10" fillId="0" borderId="17" xfId="0" applyFont="1" applyBorder="1"/>
    <xf numFmtId="167" fontId="5" fillId="0" borderId="17" xfId="1" applyNumberFormat="1" applyFont="1" applyBorder="1"/>
    <xf numFmtId="0" fontId="0" fillId="0" borderId="19" xfId="0" applyBorder="1"/>
    <xf numFmtId="167" fontId="5" fillId="0" borderId="19" xfId="0" applyNumberFormat="1" applyFont="1" applyBorder="1"/>
    <xf numFmtId="0" fontId="47" fillId="0" borderId="0" xfId="0" applyFont="1"/>
    <xf numFmtId="41" fontId="11" fillId="13" borderId="43" xfId="555" applyFont="1" applyFill="1" applyBorder="1" applyAlignment="1">
      <alignment horizontal="center" vertical="center" wrapText="1"/>
    </xf>
    <xf numFmtId="41" fontId="11" fillId="13" borderId="39" xfId="555" applyFont="1" applyFill="1" applyBorder="1" applyAlignment="1">
      <alignment horizontal="center" vertical="center" wrapText="1"/>
    </xf>
    <xf numFmtId="167" fontId="5" fillId="0" borderId="39" xfId="0" applyNumberFormat="1" applyFont="1" applyBorder="1"/>
    <xf numFmtId="0" fontId="5" fillId="0" borderId="39" xfId="0" applyFont="1" applyBorder="1"/>
    <xf numFmtId="0" fontId="5" fillId="0" borderId="40" xfId="0" applyFont="1" applyBorder="1"/>
    <xf numFmtId="9" fontId="0" fillId="0" borderId="0" xfId="0" applyNumberFormat="1"/>
    <xf numFmtId="10" fontId="0" fillId="0" borderId="0" xfId="0" applyNumberFormat="1"/>
    <xf numFmtId="0" fontId="6" fillId="5" borderId="15" xfId="0" applyFont="1" applyFill="1" applyBorder="1" applyAlignment="1">
      <alignment horizontal="center" vertical="center" wrapText="1"/>
    </xf>
    <xf numFmtId="14" fontId="60" fillId="16" borderId="44" xfId="0" applyNumberFormat="1" applyFont="1" applyFill="1" applyBorder="1" applyAlignment="1">
      <alignment horizontal="center" vertical="center" wrapText="1"/>
    </xf>
    <xf numFmtId="14" fontId="60" fillId="17" borderId="44" xfId="0" applyNumberFormat="1" applyFont="1" applyFill="1" applyBorder="1" applyAlignment="1">
      <alignment horizontal="center" vertical="center" wrapText="1"/>
    </xf>
    <xf numFmtId="167" fontId="60" fillId="16" borderId="44" xfId="1" applyNumberFormat="1" applyFont="1" applyFill="1" applyBorder="1" applyAlignment="1">
      <alignment horizontal="center" vertical="center" wrapText="1"/>
    </xf>
    <xf numFmtId="167" fontId="60" fillId="17" borderId="44" xfId="1" applyNumberFormat="1" applyFont="1" applyFill="1" applyBorder="1" applyAlignment="1">
      <alignment horizontal="center" vertical="center" wrapText="1"/>
    </xf>
    <xf numFmtId="14" fontId="0" fillId="0" borderId="44" xfId="0" applyNumberFormat="1" applyBorder="1"/>
    <xf numFmtId="14" fontId="60" fillId="16" borderId="0" xfId="0" applyNumberFormat="1" applyFont="1" applyFill="1" applyAlignment="1">
      <alignment horizontal="center" vertical="center" wrapText="1"/>
    </xf>
    <xf numFmtId="0" fontId="0" fillId="0" borderId="44" xfId="0" applyBorder="1"/>
    <xf numFmtId="167" fontId="60" fillId="16" borderId="0" xfId="1" applyNumberFormat="1" applyFont="1" applyFill="1" applyBorder="1" applyAlignment="1">
      <alignment horizontal="center" vertical="center" wrapText="1"/>
    </xf>
    <xf numFmtId="167" fontId="48" fillId="0" borderId="0" xfId="1" applyNumberFormat="1" applyFont="1"/>
    <xf numFmtId="167" fontId="4" fillId="0" borderId="0" xfId="1" applyNumberFormat="1" applyFont="1" applyAlignment="1">
      <alignment horizontal="right" wrapText="1"/>
    </xf>
    <xf numFmtId="167" fontId="4" fillId="0" borderId="14" xfId="1" applyNumberFormat="1" applyFont="1" applyFill="1" applyBorder="1"/>
    <xf numFmtId="167" fontId="4" fillId="0" borderId="18" xfId="1" applyNumberFormat="1" applyFont="1" applyFill="1" applyBorder="1"/>
    <xf numFmtId="14" fontId="4" fillId="0" borderId="19" xfId="0" applyNumberFormat="1" applyFont="1" applyBorder="1" applyAlignment="1">
      <alignment horizontal="right" wrapText="1"/>
    </xf>
    <xf numFmtId="14" fontId="4" fillId="5" borderId="14" xfId="0" applyNumberFormat="1" applyFont="1" applyFill="1" applyBorder="1"/>
    <xf numFmtId="0" fontId="45" fillId="0" borderId="0" xfId="0" applyFont="1"/>
    <xf numFmtId="167" fontId="6" fillId="2" borderId="24" xfId="1" applyNumberFormat="1" applyFont="1" applyFill="1" applyBorder="1" applyAlignment="1">
      <alignment horizontal="center" vertical="center" wrapText="1"/>
    </xf>
    <xf numFmtId="167" fontId="6" fillId="2" borderId="45" xfId="1" applyNumberFormat="1" applyFont="1" applyFill="1" applyBorder="1" applyAlignment="1">
      <alignment horizontal="center" vertical="center" wrapText="1"/>
    </xf>
    <xf numFmtId="0" fontId="4" fillId="0" borderId="46" xfId="0" applyFont="1" applyBorder="1"/>
    <xf numFmtId="167" fontId="4" fillId="0" borderId="46" xfId="1" applyNumberFormat="1" applyFont="1" applyFill="1" applyBorder="1"/>
    <xf numFmtId="0" fontId="4" fillId="0" borderId="47" xfId="0" applyFont="1" applyBorder="1"/>
    <xf numFmtId="0" fontId="11" fillId="13" borderId="0" xfId="0" applyFont="1" applyFill="1" applyAlignment="1">
      <alignment horizontal="right" wrapText="1"/>
    </xf>
    <xf numFmtId="167" fontId="10" fillId="0" borderId="48" xfId="1" applyNumberFormat="1" applyFont="1" applyBorder="1"/>
    <xf numFmtId="3" fontId="5" fillId="0" borderId="0" xfId="0" applyNumberFormat="1" applyFont="1"/>
    <xf numFmtId="167" fontId="10" fillId="0" borderId="49" xfId="1" applyNumberFormat="1" applyFont="1" applyBorder="1"/>
    <xf numFmtId="167" fontId="10" fillId="0" borderId="0" xfId="1" applyNumberFormat="1" applyFont="1" applyFill="1" applyBorder="1"/>
    <xf numFmtId="167" fontId="10" fillId="0" borderId="0" xfId="1" applyNumberFormat="1" applyFont="1" applyBorder="1"/>
    <xf numFmtId="176" fontId="4" fillId="0" borderId="0" xfId="0" applyNumberFormat="1" applyFont="1"/>
    <xf numFmtId="176" fontId="6" fillId="5" borderId="29" xfId="0" applyNumberFormat="1" applyFont="1" applyFill="1" applyBorder="1" applyAlignment="1">
      <alignment horizontal="center" vertical="center" wrapText="1"/>
    </xf>
    <xf numFmtId="176" fontId="4" fillId="0" borderId="0" xfId="1" applyNumberFormat="1" applyFont="1" applyBorder="1"/>
    <xf numFmtId="176" fontId="4" fillId="0" borderId="34" xfId="0" applyNumberFormat="1" applyFont="1" applyBorder="1"/>
    <xf numFmtId="0" fontId="11" fillId="13" borderId="15" xfId="553" applyFont="1" applyFill="1" applyBorder="1" applyAlignment="1">
      <alignment horizontal="center" vertical="center"/>
    </xf>
    <xf numFmtId="0" fontId="11" fillId="13" borderId="0" xfId="553" applyFont="1" applyFill="1" applyAlignment="1">
      <alignment horizontal="center" vertical="center"/>
    </xf>
    <xf numFmtId="0" fontId="11" fillId="13" borderId="21" xfId="553" applyFont="1" applyFill="1" applyBorder="1" applyAlignment="1">
      <alignment horizontal="left" vertical="center" wrapText="1"/>
    </xf>
    <xf numFmtId="0" fontId="11" fillId="13" borderId="19" xfId="553" applyFont="1" applyFill="1" applyBorder="1" applyAlignment="1">
      <alignment horizontal="left" vertical="center" wrapText="1"/>
    </xf>
    <xf numFmtId="0" fontId="11" fillId="13" borderId="15" xfId="553" applyFont="1" applyFill="1" applyBorder="1" applyAlignment="1">
      <alignment horizontal="left" vertical="center" wrapText="1"/>
    </xf>
    <xf numFmtId="0" fontId="11" fillId="13" borderId="0" xfId="553" applyFont="1" applyFill="1" applyAlignment="1">
      <alignment horizontal="left" vertical="center" wrapText="1"/>
    </xf>
    <xf numFmtId="0" fontId="11" fillId="13" borderId="15" xfId="553" applyFont="1" applyFill="1" applyBorder="1" applyAlignment="1">
      <alignment horizontal="center" vertical="center" wrapText="1"/>
    </xf>
    <xf numFmtId="0" fontId="11" fillId="13" borderId="0" xfId="553" applyFont="1" applyFill="1" applyAlignment="1">
      <alignment horizontal="center" vertical="center" wrapText="1"/>
    </xf>
    <xf numFmtId="49" fontId="11" fillId="13" borderId="15" xfId="553" applyNumberFormat="1" applyFont="1" applyFill="1" applyBorder="1" applyAlignment="1">
      <alignment horizontal="right" vertical="center" wrapText="1"/>
    </xf>
    <xf numFmtId="49" fontId="11" fillId="13" borderId="0" xfId="553" applyNumberFormat="1" applyFont="1" applyFill="1" applyAlignment="1">
      <alignment horizontal="right" vertical="center" wrapText="1"/>
    </xf>
  </cellXfs>
  <cellStyles count="561">
    <cellStyle name="          _x000d__x000a_shell=progman.exe_x000d__x000a_m 3" xfId="17" xr:uid="{AF2DF4F7-A550-49DD-A8EE-5AE1F2F4277D}"/>
    <cellStyle name="ColumnHeaderFillStyle" xfId="420" xr:uid="{037FEFDE-5369-4B03-ACDB-758533348774}"/>
    <cellStyle name="Comma" xfId="1" builtinId="3"/>
    <cellStyle name="Comma 10" xfId="14" xr:uid="{89E31395-614D-4C16-A31B-503823024D2C}"/>
    <cellStyle name="Comma 10 2" xfId="113" xr:uid="{675720EC-A2B9-4EAD-9A66-E16BDD267EC1}"/>
    <cellStyle name="Comma 10 2 2" xfId="478" xr:uid="{9E1295AD-4DEE-473E-8F8E-0495C3515584}"/>
    <cellStyle name="Comma 10 3" xfId="468" xr:uid="{A0FF4641-D0C1-4AB0-AD47-6207B954E6C1}"/>
    <cellStyle name="Comma 10 4" xfId="453" xr:uid="{70A9FF0E-5FF9-477E-8A90-30FEDDC4B8F8}"/>
    <cellStyle name="Comma 10 5" xfId="514" xr:uid="{EDD91B9E-0607-429A-BD3F-4647DBFFF087}"/>
    <cellStyle name="Comma 10 6" xfId="534" xr:uid="{5FC8DA8D-C574-4E98-8932-793DBC12E8E2}"/>
    <cellStyle name="Comma 10 7" xfId="542" xr:uid="{7F9A17B1-DDF1-43E0-A772-124D54D53601}"/>
    <cellStyle name="Comma 11" xfId="4" xr:uid="{D4489CAC-1FAB-4F84-9391-4FAC91F69C1D}"/>
    <cellStyle name="Comma 11 2" xfId="21" xr:uid="{B4607694-D493-4524-A6C0-8BBB1BF41AF4}"/>
    <cellStyle name="Comma 11 2 2" xfId="470" xr:uid="{B0BD0082-0190-4953-919D-471CB9D01409}"/>
    <cellStyle name="Comma 11 2 3" xfId="544" xr:uid="{69D6DD7F-7460-4B4D-9C42-B75F1838932A}"/>
    <cellStyle name="Comma 11 3" xfId="525" xr:uid="{2D1E9174-07FA-44DD-B31F-F9AE7BAF98F4}"/>
    <cellStyle name="Comma 11 4" xfId="538" xr:uid="{7744092E-D964-4DD3-ADFC-EE8E74DA84F6}"/>
    <cellStyle name="Comma 12" xfId="224" xr:uid="{5B3B94B8-AE1C-4047-B28A-EFF396E51F22}"/>
    <cellStyle name="Comma 13" xfId="223" xr:uid="{32EEFEAB-7395-40BF-B01E-FA95F484DE38}"/>
    <cellStyle name="Comma 13 2" xfId="240" xr:uid="{45F06729-5078-4184-A1BC-3C87C0257FE6}"/>
    <cellStyle name="Comma 13 2 2" xfId="486" xr:uid="{7326DD08-5642-48F6-A58C-5E84F88813B8}"/>
    <cellStyle name="Comma 13 2 3" xfId="443" xr:uid="{D60E73EB-776E-4846-B39B-41029DE3A049}"/>
    <cellStyle name="Comma 13 3" xfId="483" xr:uid="{93676005-A8E0-4A97-ADDB-3171E6146AFA}"/>
    <cellStyle name="Comma 13 4" xfId="445" xr:uid="{9362EEAC-65AE-4C41-9DCB-2991444866A9}"/>
    <cellStyle name="Comma 14" xfId="232" xr:uid="{8C196357-969D-4096-818B-912295D0A5BF}"/>
    <cellStyle name="Comma 14 2" xfId="306" xr:uid="{78DEA606-63F9-4AAB-8C52-F2F68A502056}"/>
    <cellStyle name="Comma 14 2 2" xfId="487" xr:uid="{F3273564-1264-4EAF-AF36-56CFAEE63661}"/>
    <cellStyle name="Comma 14 2 3" xfId="461" xr:uid="{320C156A-EB0B-4512-BE76-31E20A9515FB}"/>
    <cellStyle name="Comma 14 3" xfId="485" xr:uid="{2A0CB5E2-E25B-4CBD-B4DB-E5546E130B09}"/>
    <cellStyle name="Comma 14 4" xfId="444" xr:uid="{C79C0C83-9165-4FB1-8410-455364237894}"/>
    <cellStyle name="Comma 15" xfId="26" xr:uid="{CEDCE2B3-426E-44FF-9403-49AE61297521}"/>
    <cellStyle name="Comma 16" xfId="446" xr:uid="{1231E76A-9917-4A76-BE9C-84A23D6730EA}"/>
    <cellStyle name="Comma 17" xfId="494" xr:uid="{9C7C047A-EA87-47C3-BC2F-0CBA41872622}"/>
    <cellStyle name="Comma 18" xfId="5" xr:uid="{E006CD87-CF5B-4FC1-B371-C86268D5FE3E}"/>
    <cellStyle name="Comma 2" xfId="28" xr:uid="{2A494C6A-108F-4671-8503-8CB427021A07}"/>
    <cellStyle name="Comma 2 10" xfId="556" xr:uid="{F8BB29EB-030D-417B-8091-63E92B0E29B0}"/>
    <cellStyle name="Comma 2 10 2" xfId="19" xr:uid="{12004720-64F8-41DE-B6AE-1B8B64336C0C}"/>
    <cellStyle name="Comma 2 10 2 2" xfId="469" xr:uid="{E44DD31B-5700-4A4F-A4C2-CF00CA5601C1}"/>
    <cellStyle name="Comma 2 14" xfId="87" xr:uid="{66F23025-22FF-4EC4-AF49-55181A97E4DE}"/>
    <cellStyle name="Comma 2 14 2" xfId="428" xr:uid="{15CED2D1-4961-4093-B28B-BCB67F266545}"/>
    <cellStyle name="Comma 2 2" xfId="38" xr:uid="{86C7AE97-969F-4750-B086-2A77DD497DD3}"/>
    <cellStyle name="Comma 2 2 2" xfId="178" xr:uid="{CC8072B1-BE80-45D9-A264-9D718849F5AD}"/>
    <cellStyle name="Comma 2 2 2 2" xfId="482" xr:uid="{82163ED7-8B28-4CF0-B7C5-ED332AA48E3F}"/>
    <cellStyle name="Comma 2 2 2 3" xfId="448" xr:uid="{9B978067-1287-4737-8F78-AE0C342AD27D}"/>
    <cellStyle name="Comma 2 2 3" xfId="475" xr:uid="{63B48718-0FAA-4F51-A0EA-FA86D671F27D}"/>
    <cellStyle name="Comma 2 2 4" xfId="456" xr:uid="{AA85F916-6BBE-4690-9D03-2357FD5D00EA}"/>
    <cellStyle name="Comma 2 2 5" xfId="512" xr:uid="{D6BC7104-1EAD-4522-AFF5-5318A899C96E}"/>
    <cellStyle name="Comma 2 2 6" xfId="528" xr:uid="{18C9D5AC-DF6C-4BC5-A4D1-FFCECE7752D7}"/>
    <cellStyle name="Comma 2 3" xfId="68" xr:uid="{BCFF5291-7CA2-403E-9E5E-D463F21E7759}"/>
    <cellStyle name="Comma 2 3 2" xfId="180" xr:uid="{8E1708EA-2632-4A3B-B196-862622F6736F}"/>
    <cellStyle name="Comma 2 3 2 2" xfId="430" xr:uid="{A8E65AA2-F0D5-4A3D-8E22-9A1B9B4F3759}"/>
    <cellStyle name="Comma 2 3 3" xfId="429" xr:uid="{DE863825-3378-4C0A-B783-3A894AF13849}"/>
    <cellStyle name="Comma 2 4" xfId="422" xr:uid="{00019389-A5F1-4E1B-BDAD-CF3B174D93FA}"/>
    <cellStyle name="Comma 2 4 2" xfId="488" xr:uid="{1DBB675B-2225-4E0D-AF70-55E52489994A}"/>
    <cellStyle name="Comma 2 5" xfId="473" xr:uid="{B89D28BA-A2FA-4A82-9B3E-7604365790E0}"/>
    <cellStyle name="Comma 2 5 2" xfId="533" xr:uid="{3E49E6F8-E8FC-45FA-82A2-01AD1873314B}"/>
    <cellStyle name="Comma 2 6" xfId="458" xr:uid="{8ED7B8F4-0E40-485A-B11D-BFF7D5A5A9B5}"/>
    <cellStyle name="Comma 2 7" xfId="501" xr:uid="{0946260F-D5FF-4161-ABDE-910BC8373DE2}"/>
    <cellStyle name="Comma 2 8" xfId="523" xr:uid="{87BE66B7-82D3-4971-9B66-8855FF3774FC}"/>
    <cellStyle name="Comma 2 9" xfId="543" xr:uid="{4CA4FFE9-9B4F-43F0-A11F-6B90748D2220}"/>
    <cellStyle name="Comma 2_Giao dịch mua bán" xfId="166" xr:uid="{215EA2A6-37E3-4D6F-82CB-71D6C62DEC61}"/>
    <cellStyle name="Comma 28" xfId="124" xr:uid="{F75FD9AB-1CB2-4528-9E0D-D7A8F3E53A24}"/>
    <cellStyle name="Comma 28 2" xfId="431" xr:uid="{B159770C-99DA-49ED-90C5-5AA06C377847}"/>
    <cellStyle name="Comma 28 3" xfId="65" xr:uid="{BC7DCFCC-A71F-4B32-AC18-9F5B52DB3B35}"/>
    <cellStyle name="Comma 28 3 2" xfId="432" xr:uid="{96727887-BA5C-47E9-BD56-60628828B661}"/>
    <cellStyle name="Comma 29" xfId="123" xr:uid="{54CFF22F-8194-4774-A7DA-DE9C597A1226}"/>
    <cellStyle name="Comma 29 2" xfId="62" xr:uid="{26BAC101-F6D9-4B3F-911C-C68D68F529FC}"/>
    <cellStyle name="Comma 29 2 2" xfId="434" xr:uid="{664C9FFF-D42D-460A-AC41-B68144517494}"/>
    <cellStyle name="Comma 29 3" xfId="433" xr:uid="{B2563AAB-47AD-46EB-9A1B-AD826690A0EF}"/>
    <cellStyle name="Comma 3" xfId="36" xr:uid="{5490A497-CD2C-406E-BB7D-E7C2E98E8C0E}"/>
    <cellStyle name="Comma 3 2" xfId="111" xr:uid="{B83DAE9C-CA66-4D6C-BB0A-F7F2F6812BC6}"/>
    <cellStyle name="Comma 3 2 2" xfId="477" xr:uid="{F79B2462-C3FC-4B2E-8CA2-6966FEC17601}"/>
    <cellStyle name="Comma 3 2 3" xfId="454" xr:uid="{FAC7C42E-F799-48E5-9022-D83E78F552BA}"/>
    <cellStyle name="Comma 3 3" xfId="70" xr:uid="{22DB46AF-E29A-43EC-8BCB-B89F23BAE2B0}"/>
    <cellStyle name="Comma 3 3 2" xfId="435" xr:uid="{B47835A6-E30B-47D2-8505-3898D986A4F3}"/>
    <cellStyle name="Comma 3 4" xfId="504" xr:uid="{A6A3E101-2861-4B70-944E-1DCA295FAD93}"/>
    <cellStyle name="Comma 3 5" xfId="116" xr:uid="{6D71A340-2E24-4DB9-B8D2-012D9AF5D4CB}"/>
    <cellStyle name="Comma 3 5 2" xfId="480" xr:uid="{D98484BD-B162-44A7-A7B7-38499310F952}"/>
    <cellStyle name="Comma 3 5 3" xfId="451" xr:uid="{44FC5FFA-3AA2-42A9-A38A-E716553F794D}"/>
    <cellStyle name="Comma 3_Giao dịch mua bán" xfId="167" xr:uid="{672B91EB-A98F-40EC-B5A1-2411E28A7C0F}"/>
    <cellStyle name="Comma 30" xfId="63" xr:uid="{D9A6B494-7492-475B-90F8-DA740A99DB88}"/>
    <cellStyle name="Comma 30 2" xfId="91" xr:uid="{711AD320-0A0B-49B8-BB31-B57B19685384}"/>
    <cellStyle name="Comma 30 2 2" xfId="437" xr:uid="{5E877C84-1668-45B3-8F02-E43EDB7329AE}"/>
    <cellStyle name="Comma 30 3" xfId="436" xr:uid="{59412AE2-A16C-4096-85BD-87E70EFF5440}"/>
    <cellStyle name="Comma 31" xfId="139" xr:uid="{E008F1FE-69CA-401B-81C2-6E9334232583}"/>
    <cellStyle name="Comma 31 2" xfId="481" xr:uid="{D3727A0D-9072-4A04-B79E-B703CBBA75C7}"/>
    <cellStyle name="Comma 31 3" xfId="450" xr:uid="{BB0198B7-940F-46E7-A8A5-1E98835AF29F}"/>
    <cellStyle name="Comma 32" xfId="118" xr:uid="{C74F6A41-B184-425D-81C3-266A8468F540}"/>
    <cellStyle name="Comma 32 2" xfId="141" xr:uid="{4B32A142-F29C-4D9A-B4ED-AA17982C3F3B}"/>
    <cellStyle name="Comma 32 2 2" xfId="439" xr:uid="{22EC09B9-1E89-4BAF-90C9-3076BC64C09C}"/>
    <cellStyle name="Comma 32 3" xfId="438" xr:uid="{B6131271-D8CE-4C68-B444-B67EBFAC013B}"/>
    <cellStyle name="Comma 34" xfId="73" xr:uid="{93490574-47FE-47BA-ADEF-3B6C0E01B4BF}"/>
    <cellStyle name="Comma 34 2" xfId="476" xr:uid="{32742639-0922-4302-A51F-EEB4AACEBD96}"/>
    <cellStyle name="Comma 34 3" xfId="455" xr:uid="{527110D7-E62C-48FF-9BB8-720BCD7565D6}"/>
    <cellStyle name="Comma 35" xfId="85" xr:uid="{EC03F99A-CC82-4A4C-AE60-11E0536719E9}"/>
    <cellStyle name="Comma 35 2" xfId="440" xr:uid="{8D6EAD92-4967-4957-9E4C-60C7184FFCAB}"/>
    <cellStyle name="Comma 37" xfId="93" xr:uid="{D237176E-642D-400E-B22B-1A3D22AAE0F8}"/>
    <cellStyle name="Comma 37 2" xfId="441" xr:uid="{75BFBE13-7AF3-476F-99E7-C2E04E05D25A}"/>
    <cellStyle name="Comma 4" xfId="32" xr:uid="{77C971E1-FB07-47E2-9D6A-651A60A2B6B6}"/>
    <cellStyle name="Comma 4 18" xfId="137" xr:uid="{95308E23-4922-4E49-9A04-66FA11B4A894}"/>
    <cellStyle name="Comma 4 2" xfId="115" xr:uid="{A48C3A4E-1FE4-409A-9E54-6F542E5EAADF}"/>
    <cellStyle name="Comma 4 2 2" xfId="479" xr:uid="{F4F21368-22AE-47A9-998B-6180F62F74B5}"/>
    <cellStyle name="Comma 4 2 3" xfId="452" xr:uid="{A1160E92-3D15-4A8E-A5C2-C9088C1B946B}"/>
    <cellStyle name="Comma 4 3" xfId="80" xr:uid="{879061ED-1EB1-486D-A0B3-F3290E665D91}"/>
    <cellStyle name="Comma 4 3 2" xfId="532" xr:uid="{F56C7EE5-A4F8-4E8A-B94D-69584C0F2DAC}"/>
    <cellStyle name="Comma 4 4" xfId="474" xr:uid="{B77FBADB-9A93-4A61-8B91-901754CD6C1E}"/>
    <cellStyle name="Comma 4 5" xfId="457" xr:uid="{A08C8192-DD4F-4549-BD56-51F2D038CE80}"/>
    <cellStyle name="Comma 4 6" xfId="506" xr:uid="{9EFE01A4-202E-4BFF-8C56-065C61A85C16}"/>
    <cellStyle name="Comma 4_Giao dịch mua bán" xfId="157" xr:uid="{47FCDAFC-8512-4FBB-8F13-EB3263A63471}"/>
    <cellStyle name="Comma 5" xfId="175" xr:uid="{4FFA4C09-32A4-438F-B66D-3ED5928BD6B0}"/>
    <cellStyle name="Comma 5 2" xfId="442" xr:uid="{ED333AD9-059D-46D9-BD75-FDD6CF995320}"/>
    <cellStyle name="Comma 5 2 2" xfId="530" xr:uid="{FE6E05E2-584F-4F1D-BE07-D5098874FFEC}"/>
    <cellStyle name="Comma 5 3" xfId="508" xr:uid="{593FEEDC-8A20-4F45-8DF4-798129E33571}"/>
    <cellStyle name="Comma 6" xfId="7" xr:uid="{A3F410CB-7B48-4ABE-8198-8A6263321510}"/>
    <cellStyle name="Comma 6 2" xfId="83" xr:uid="{1C515499-B9D2-410A-BDAC-D9BA3BAF41CD}"/>
    <cellStyle name="Comma 6 3" xfId="463" xr:uid="{1A089C07-D631-4698-A2A6-F991C7E193EF}"/>
    <cellStyle name="Comma 7" xfId="204" xr:uid="{DA9E3756-B855-4DA6-8D4F-8D368DAE0335}"/>
    <cellStyle name="Comma 8" xfId="205" xr:uid="{15E62CB2-B31F-4BDA-963C-E78A1067A120}"/>
    <cellStyle name="Comma 9" xfId="211" xr:uid="{D18B4B4C-0E39-4329-89F2-2F5A10C3DD07}"/>
    <cellStyle name="Comma_VCB 2007 - IAS Leadsheet &amp; Working TB - qta - v31" xfId="555" xr:uid="{DD4D5522-D85C-4216-8735-DFF6FC9732B2}"/>
    <cellStyle name="Currency [0] 2" xfId="110" xr:uid="{01FFD069-6FA6-4694-BD07-91FF094150AD}"/>
    <cellStyle name="Heading 1 2 2" xfId="499" xr:uid="{638B700A-AC84-47E6-8C8C-AF3ED110497F}"/>
    <cellStyle name="Heading 1 2 2 11" xfId="16" xr:uid="{D603B16C-1091-4E16-A269-0DBD798E6E7D}"/>
    <cellStyle name="Hyperlink 2" xfId="521" xr:uid="{61294DC6-49EE-4EED-AB17-250D0C300FC0}"/>
    <cellStyle name="Hyperlink 2 2" xfId="557" xr:uid="{B1A72C32-1DF5-4B26-9B9C-96F867B7CF40}"/>
    <cellStyle name="Normal" xfId="0" builtinId="0"/>
    <cellStyle name="Normal - Style1 2 2" xfId="6" xr:uid="{7316269A-371F-4B9D-A181-E2B1D2DE7BC5}"/>
    <cellStyle name="Normal 10" xfId="46" xr:uid="{AFCDD660-0661-475B-BFF9-489E52E2BE3A}"/>
    <cellStyle name="Normal 10 2" xfId="94" xr:uid="{96E15C72-445D-4824-B79D-3E63E0D30190}"/>
    <cellStyle name="Normal 10_Giao dịch mua bán" xfId="170" xr:uid="{FA74FF17-4444-45EC-924E-D8260368C715}"/>
    <cellStyle name="Normal 100" xfId="226" xr:uid="{BFA0C0A3-24BA-4AA2-8E9D-B6DD96563323}"/>
    <cellStyle name="Normal 100 2" xfId="339" xr:uid="{0ABD637E-017A-4405-BCFC-4CDF1CB95DF1}"/>
    <cellStyle name="Normal 100 3" xfId="371" xr:uid="{3301B33F-54F9-488D-9518-58E686420982}"/>
    <cellStyle name="Normal 101" xfId="230" xr:uid="{D2168F54-8E5D-4CF0-AE60-958789DA7A97}"/>
    <cellStyle name="Normal 101 2" xfId="337" xr:uid="{2F7459CF-F9CB-47CF-9773-7639F70F734B}"/>
    <cellStyle name="Normal 101 3" xfId="353" xr:uid="{FB7D7C15-8BA5-421D-96BE-C9473325E000}"/>
    <cellStyle name="Normal 102" xfId="231" xr:uid="{9A310CDA-1294-4E69-8E6F-F99B26101A77}"/>
    <cellStyle name="Normal 102 2" xfId="257" xr:uid="{877FF3A3-0570-452A-B6ED-51776C3B3B5D}"/>
    <cellStyle name="Normal 102 3" xfId="336" xr:uid="{6A15A852-4B3D-4D33-8915-BB02B1AC31F6}"/>
    <cellStyle name="Normal 102 4" xfId="365" xr:uid="{DB906837-6B33-4FA1-A47F-5616C70B31B5}"/>
    <cellStyle name="Normal 103" xfId="236" xr:uid="{E810D480-10D3-457E-9B93-EB78632DBF58}"/>
    <cellStyle name="Normal 103 2" xfId="258" xr:uid="{8D83EB3E-CBB2-49FB-9D75-1C4C947964DC}"/>
    <cellStyle name="Normal 103 3" xfId="332" xr:uid="{20DBEBCD-FD9B-485F-BCCE-80B836B2FFD3}"/>
    <cellStyle name="Normal 103 4" xfId="355" xr:uid="{10C070EE-F7DF-423F-89A9-D15F7ADFC3CF}"/>
    <cellStyle name="Normal 104" xfId="235" xr:uid="{00082C45-0A84-4167-8AB1-83C073187D18}"/>
    <cellStyle name="Normal 104 2" xfId="259" xr:uid="{C687DDA8-B1FF-467F-8A6E-FF32B41B5C84}"/>
    <cellStyle name="Normal 104 3" xfId="333" xr:uid="{DCB7DDB4-8DB8-4727-8B76-F654966D2977}"/>
    <cellStyle name="Normal 104 4" xfId="366" xr:uid="{2A23D893-F3E8-457B-895B-4E32EB79840C}"/>
    <cellStyle name="Normal 105" xfId="237" xr:uid="{74CAF00C-1DFF-4C7A-9897-0FFB99CA96A2}"/>
    <cellStyle name="Normal 105 2" xfId="260" xr:uid="{599748DB-D281-4E17-AC90-A7A4A206D522}"/>
    <cellStyle name="Normal 105 3" xfId="331" xr:uid="{37F9620D-E2F7-471E-B0A3-EFD6E79F556A}"/>
    <cellStyle name="Normal 105 4" xfId="362" xr:uid="{6A1731E0-005C-4E1E-AE9A-14896878DE58}"/>
    <cellStyle name="Normal 106" xfId="233" xr:uid="{1A509522-47E8-4EE1-9D12-1F70522E377C}"/>
    <cellStyle name="Normal 106 2" xfId="261" xr:uid="{E1CC36DB-D084-4971-82CE-1FFF13EF0B64}"/>
    <cellStyle name="Normal 106 3" xfId="335" xr:uid="{A2FEE2FD-74D9-4F2B-823E-A78CD80D7DAC}"/>
    <cellStyle name="Normal 106 4" xfId="370" xr:uid="{99653900-C7A0-4048-8BC0-251A8D4DF8B9}"/>
    <cellStyle name="Normal 107" xfId="234" xr:uid="{FF5F17EE-9BC5-45C9-879A-71870BBCCCD9}"/>
    <cellStyle name="Normal 107 2" xfId="262" xr:uid="{DDBBF58F-5C18-441B-A582-3B9F58E6B876}"/>
    <cellStyle name="Normal 107 3" xfId="334" xr:uid="{1B19EB97-DBA6-40D8-96BE-B534CF3C1386}"/>
    <cellStyle name="Normal 107 4" xfId="368" xr:uid="{EA5CFBCE-88D8-4F59-B78A-1F5567FDE045}"/>
    <cellStyle name="Normal 108" xfId="238" xr:uid="{EA428FF2-ECE2-4F1A-8AC7-00964A912750}"/>
    <cellStyle name="Normal 108 2" xfId="263" xr:uid="{35CA85C4-AE15-4E58-BA1C-9CA74AF19CD3}"/>
    <cellStyle name="Normal 108 3" xfId="330" xr:uid="{40F661CE-53CC-4489-BB0D-8B7A2BB6DE58}"/>
    <cellStyle name="Normal 108 4" xfId="369" xr:uid="{085813BA-BF8D-4708-89B3-263275925A28}"/>
    <cellStyle name="Normal 109" xfId="242" xr:uid="{7CF0510C-806A-49A6-B97B-8E7402DB3CF9}"/>
    <cellStyle name="Normal 109 2" xfId="329" xr:uid="{E18AF822-9E8B-429A-AD9D-F3DCCBE40FC8}"/>
    <cellStyle name="Normal 109 3" xfId="357" xr:uid="{E9ECF57A-D380-4C60-B517-2DD5AFC23EC3}"/>
    <cellStyle name="Normal 11" xfId="48" xr:uid="{CEDABCF8-9FEB-45E6-955D-08D880876281}"/>
    <cellStyle name="Normal 11 2" xfId="114" xr:uid="{D115F23C-980C-4D8C-BC2A-6C5A9D0F9EB6}"/>
    <cellStyle name="Normal 11 3" xfId="95" xr:uid="{4CF57209-6D63-451C-8D97-4E538762393E}"/>
    <cellStyle name="Normal 11 4" xfId="503" xr:uid="{EC96572B-EDA6-4977-8571-D40C3E66DF58}"/>
    <cellStyle name="Normal 11_Giao dịch mua bán" xfId="160" xr:uid="{D30B8D2A-B703-466C-ABFF-A4EC4318AB2E}"/>
    <cellStyle name="Normal 110" xfId="264" xr:uid="{48E89700-FF39-438F-98BB-AA7A9F7BC337}"/>
    <cellStyle name="Normal 110 2" xfId="326" xr:uid="{5DCF0820-21C7-45B3-941D-947431A20ADF}"/>
    <cellStyle name="Normal 110 3" xfId="354" xr:uid="{58CB43B4-4CDE-4417-9A38-B1DDE8E11AE0}"/>
    <cellStyle name="Normal 111" xfId="265" xr:uid="{066B21DB-ADF9-4305-ACC2-88D75ADD56BF}"/>
    <cellStyle name="Normal 111 2" xfId="325" xr:uid="{A2AE3511-6964-4E8E-A046-56C70392D120}"/>
    <cellStyle name="Normal 111 3" xfId="351" xr:uid="{28FD50FF-95A3-4991-B690-0C7F3BEEA886}"/>
    <cellStyle name="Normal 112" xfId="266" xr:uid="{3B3531AA-D250-4D2D-888F-50A7EEA9EF3C}"/>
    <cellStyle name="Normal 112 2" xfId="324" xr:uid="{1880BBA6-C108-4B3F-B2D8-C25958BC3CF6}"/>
    <cellStyle name="Normal 112 3" xfId="363" xr:uid="{62146EA8-1A37-43E2-A9B2-AEFB94F53A51}"/>
    <cellStyle name="Normal 113" xfId="267" xr:uid="{856E12F0-38F0-4F3E-92E3-7BC0CB02B2C0}"/>
    <cellStyle name="Normal 113 2" xfId="323" xr:uid="{0CBB7516-E64A-41D6-98EA-40803F4F5593}"/>
    <cellStyle name="Normal 113 3" xfId="359" xr:uid="{F5A81214-A56C-4972-95C4-386620808245}"/>
    <cellStyle name="Normal 114" xfId="268" xr:uid="{6E97D6DA-380E-4EFC-B9AA-FAD0DCF0C9FB}"/>
    <cellStyle name="Normal 114 2" xfId="322" xr:uid="{CE3831B0-9CA8-4CCF-A558-E46866BDBA82}"/>
    <cellStyle name="Normal 114 3" xfId="352" xr:uid="{F3B048BB-69F0-4CFB-A11E-E6E5606DF090}"/>
    <cellStyle name="Normal 115" xfId="269" xr:uid="{2237DF3D-06B1-4295-801D-45841D3EB21E}"/>
    <cellStyle name="Normal 115 2" xfId="321" xr:uid="{0CC7D850-0E99-48C7-9063-5CFCA2800FB0}"/>
    <cellStyle name="Normal 115 3" xfId="367" xr:uid="{1DEE2C38-18D8-45D2-BF70-D806EFB40371}"/>
    <cellStyle name="Normal 116" xfId="270" xr:uid="{6A1C6570-ADD5-4BEB-A432-5DB3A9D55D23}"/>
    <cellStyle name="Normal 116 2" xfId="320" xr:uid="{B4E5FBD0-A8DC-409F-BD91-A55C6A3D9206}"/>
    <cellStyle name="Normal 116 3" xfId="350" xr:uid="{2F4A7771-3936-4439-B9FB-1CBFFE6719BB}"/>
    <cellStyle name="Normal 117" xfId="271" xr:uid="{91150198-5335-4EDC-91C0-014F85644239}"/>
    <cellStyle name="Normal 118" xfId="272" xr:uid="{558588FA-4076-43C9-AF7F-4A1205617D61}"/>
    <cellStyle name="Normal 119" xfId="273" xr:uid="{AA885BDE-AFCF-4DA6-981B-CB29B2C8F670}"/>
    <cellStyle name="Normal 12" xfId="49" xr:uid="{EA4E2B2F-D898-4E49-ADF3-2CAFF1451FE3}"/>
    <cellStyle name="Normal 12 2" xfId="72" xr:uid="{DD8A53DB-8E3D-43D4-A253-D7AC5FE07AD1}"/>
    <cellStyle name="Normal 12 3" xfId="505" xr:uid="{FC98FFFC-C3A5-4055-B0E2-554003BC99B3}"/>
    <cellStyle name="Normal 12_Giao dịch mua bán" xfId="165" xr:uid="{BF8EB07A-6BFC-4C73-85F9-AB2744BA5C90}"/>
    <cellStyle name="Normal 120" xfId="274" xr:uid="{AA55A402-9745-4154-BB99-E2A77663FE0C}"/>
    <cellStyle name="Normal 121" xfId="275" xr:uid="{59F3B629-CF68-432D-8A4B-B970C97DB300}"/>
    <cellStyle name="Normal 122" xfId="276" xr:uid="{B43BF1B7-D832-4E9A-B0A0-90F302B6322B}"/>
    <cellStyle name="Normal 123" xfId="277" xr:uid="{D7C5E0E8-2327-4A69-B7AE-D71894FF28C1}"/>
    <cellStyle name="Normal 124" xfId="278" xr:uid="{9A1E0253-E250-4D2F-A62C-C65DB76074E3}"/>
    <cellStyle name="Normal 125" xfId="279" xr:uid="{DC6C6081-EDA6-4055-A03E-8B9677210ECF}"/>
    <cellStyle name="Normal 126" xfId="280" xr:uid="{3D45F575-416D-44D2-B0EF-CC0833FB7AF0}"/>
    <cellStyle name="Normal 127" xfId="281" xr:uid="{E42220F3-8DC5-4194-BE37-FE84E8635340}"/>
    <cellStyle name="Normal 128" xfId="282" xr:uid="{72A7E4F7-BB06-41BB-8498-BAB02F444C5E}"/>
    <cellStyle name="Normal 129" xfId="283" xr:uid="{8ECEFD03-BBBE-4B75-94B5-80BA790C1566}"/>
    <cellStyle name="Normal 13" xfId="44" xr:uid="{4D1433AF-4746-4B65-A2DE-9C19C5401585}"/>
    <cellStyle name="Normal 13 2" xfId="96" xr:uid="{56BFF33C-16BE-4CCB-979B-7E7308920234}"/>
    <cellStyle name="Normal 13_Giao dịch mua bán" xfId="161" xr:uid="{FDF7BF25-2683-440B-BB89-380D63662EFC}"/>
    <cellStyle name="Normal 130" xfId="284" xr:uid="{D78EA045-DD59-4D8D-B4FB-18CF0315B6A1}"/>
    <cellStyle name="Normal 131" xfId="285" xr:uid="{53CFBC4C-5404-4213-B1D2-CBF64F14527B}"/>
    <cellStyle name="Normal 132" xfId="286" xr:uid="{465BF7C1-4B08-41D4-A65A-784650819C44}"/>
    <cellStyle name="Normal 133" xfId="287" xr:uid="{5B9AF898-ACD1-4FB7-B58A-F7EB5344E6E3}"/>
    <cellStyle name="Normal 134" xfId="288" xr:uid="{2F9ACA77-9B4C-4012-9CC2-829FC3616875}"/>
    <cellStyle name="Normal 135" xfId="289" xr:uid="{316A1262-B10D-406D-B433-40016540D52E}"/>
    <cellStyle name="Normal 136" xfId="290" xr:uid="{3333250E-B97B-4F54-BF4A-5EE1860236D8}"/>
    <cellStyle name="Normal 137" xfId="291" xr:uid="{9730C2FC-2A95-4579-A741-78CC9AC3278A}"/>
    <cellStyle name="Normal 138" xfId="292" xr:uid="{E4B83928-F4DB-4F11-B6E5-A486632B7105}"/>
    <cellStyle name="Normal 139" xfId="293" xr:uid="{D996B9C4-FDA0-433E-9B2A-43C441E494DB}"/>
    <cellStyle name="Normal 14" xfId="52" xr:uid="{31833FB6-0FCF-49D6-AD2D-69115C819BD4}"/>
    <cellStyle name="Normal 14 2" xfId="97" xr:uid="{EEB7EB1E-98FA-434E-9982-A03DD218183F}"/>
    <cellStyle name="Normal 14 3" xfId="524" xr:uid="{36308217-9D54-43F4-A4CA-3DE0DB43DE17}"/>
    <cellStyle name="Normal 14_Giao dịch mua bán" xfId="159" xr:uid="{31043D9E-75B6-427F-B10D-382C5BF0B925}"/>
    <cellStyle name="Normal 140" xfId="294" xr:uid="{4BFA6E93-332E-49DD-813E-4DCCC787A499}"/>
    <cellStyle name="Normal 141" xfId="295" xr:uid="{3CF95FED-0832-4D97-9A88-B803EBDBE0C1}"/>
    <cellStyle name="Normal 142" xfId="296" xr:uid="{7064D93A-6B1F-4304-A859-55200F68B871}"/>
    <cellStyle name="Normal 143" xfId="297" xr:uid="{287C3F5B-53F5-4F09-98C9-A567860ADC26}"/>
    <cellStyle name="Normal 144" xfId="298" xr:uid="{6458C5F4-4D4C-444F-B799-04A6ED02D8DA}"/>
    <cellStyle name="Normal 145" xfId="299" xr:uid="{DA3C8112-B0AB-415E-B06E-AC39C793B48C}"/>
    <cellStyle name="Normal 146" xfId="300" xr:uid="{82853468-EE66-4561-80E1-BC9014A01447}"/>
    <cellStyle name="Normal 147" xfId="301" xr:uid="{2B591B09-5E6F-4BD1-B0B7-119CA07561D2}"/>
    <cellStyle name="Normal 148" xfId="302" xr:uid="{DE3A44D6-7E5B-4B7B-948E-AD107F19E2EF}"/>
    <cellStyle name="Normal 149" xfId="303" xr:uid="{3C9178EF-059A-4F12-9510-B4B73CD8FF93}"/>
    <cellStyle name="Normal 15" xfId="53" xr:uid="{9C31448E-69B9-419A-B973-AC33F922BE5A}"/>
    <cellStyle name="Normal 15 2" xfId="98" xr:uid="{73A9AA49-FC18-49F1-ABEE-032A01E42256}"/>
    <cellStyle name="Normal 15_Giao dịch mua bán" xfId="172" xr:uid="{F14F3892-E7BE-43E8-AC71-EBAC40B8E4A1}"/>
    <cellStyle name="Normal 150" xfId="304" xr:uid="{A66D712B-F8C9-4377-AAEA-761E86B13386}"/>
    <cellStyle name="Normal 151" xfId="305" xr:uid="{0FDAE0BC-3FA2-48A2-B0FA-5010D83E82F4}"/>
    <cellStyle name="Normal 152" xfId="307" xr:uid="{5DA03822-6051-44E2-8AAA-472CC69ABB81}"/>
    <cellStyle name="Normal 152 2" xfId="398" xr:uid="{FE4B80DE-EA94-420A-A048-BC68D87C6262}"/>
    <cellStyle name="Normal 152 3" xfId="349" xr:uid="{228A28C6-F480-46CC-8962-C8227A3E7138}"/>
    <cellStyle name="Normal 153" xfId="308" xr:uid="{0C7F3F4E-81EC-4FC8-AEAC-337D0EED4EE6}"/>
    <cellStyle name="Normal 153 2" xfId="400" xr:uid="{8254B577-AFE2-4992-A50F-77CD112DF481}"/>
    <cellStyle name="Normal 153 3" xfId="347" xr:uid="{6BD094F2-7335-4C44-8F85-E08F9A4D3FE6}"/>
    <cellStyle name="Normal 154" xfId="309" xr:uid="{325057B1-6F1E-4077-85E4-9E53DE207FFE}"/>
    <cellStyle name="Normal 154 2" xfId="401" xr:uid="{FCAC9982-0771-4507-AF20-E68D81E4A376}"/>
    <cellStyle name="Normal 154 3" xfId="348" xr:uid="{1BEC3AC6-A061-4957-87C2-41243A1D845C}"/>
    <cellStyle name="Normal 155" xfId="310" xr:uid="{4835F2EE-6EFA-471E-ABA3-C9E2387CFE0D}"/>
    <cellStyle name="Normal 155 2" xfId="402" xr:uid="{D076D7A2-E5DB-4B28-AB0B-2395DB0C1520}"/>
    <cellStyle name="Normal 155 3" xfId="395" xr:uid="{8B1DA33E-13A6-4F6E-9A5C-6F6806A49CF7}"/>
    <cellStyle name="Normal 156" xfId="311" xr:uid="{1DE62B2C-46DD-414C-A539-CAFF6D6C0C18}"/>
    <cellStyle name="Normal 156 2" xfId="403" xr:uid="{17F1AA27-F243-437B-9A78-E5F14B046EFC}"/>
    <cellStyle name="Normal 156 3" xfId="396" xr:uid="{A2767079-40A2-40F9-BCC8-19407867C0C0}"/>
    <cellStyle name="Normal 157" xfId="312" xr:uid="{A481F9B3-8056-4DE5-847A-DE1435406822}"/>
    <cellStyle name="Normal 157 2" xfId="404" xr:uid="{E19FA90A-39CF-47CF-B879-9EDA73369EB3}"/>
    <cellStyle name="Normal 157 3" xfId="397" xr:uid="{151199D4-C41C-4824-99A3-903AC234141A}"/>
    <cellStyle name="Normal 158" xfId="313" xr:uid="{A1B21516-A3B0-4394-ABCF-D2B71A8D6FD3}"/>
    <cellStyle name="Normal 159" xfId="314" xr:uid="{58A5CE0E-8352-4534-840D-04AA0B719B3E}"/>
    <cellStyle name="Normal 16" xfId="45" xr:uid="{53959B8C-BEC3-488D-B45E-8C828FEA43A4}"/>
    <cellStyle name="Normal 16 2" xfId="99" xr:uid="{88FCBCD3-3386-4A98-AC82-61B8793688D6}"/>
    <cellStyle name="Normal 16 3" xfId="522" xr:uid="{3AB56BFA-689A-4FFC-BA9A-731FE75BBAA1}"/>
    <cellStyle name="Normal 16_Giao dịch mua bán" xfId="164" xr:uid="{45346052-A05B-44D5-943B-FA1CDC9E3CBD}"/>
    <cellStyle name="Normal 160" xfId="315" xr:uid="{DCECF8E6-0762-4F9E-A74B-661218833020}"/>
    <cellStyle name="Normal 161" xfId="316" xr:uid="{B7E4F900-B426-4DF0-9ECD-4E89B5E86DB5}"/>
    <cellStyle name="Normal 162" xfId="317" xr:uid="{E345214B-3301-4BFD-807C-9D1259323290}"/>
    <cellStyle name="Normal 163" xfId="318" xr:uid="{BAAAF120-F5B0-4D04-8337-048409934D60}"/>
    <cellStyle name="Normal 164" xfId="319" xr:uid="{15B0E799-9A67-43E2-87B8-9E11D41F8265}"/>
    <cellStyle name="Normal 164 2" xfId="399" xr:uid="{7CECF545-CC48-40D3-9871-24DEFCA21E84}"/>
    <cellStyle name="Normal 165" xfId="392" xr:uid="{EC9B3955-A3D7-4AA7-A7BB-7FE49CBCD8AA}"/>
    <cellStyle name="Normal 165 2" xfId="405" xr:uid="{2770B64A-75FF-4FE0-97A3-D0383D30A7D1}"/>
    <cellStyle name="Normal 166" xfId="393" xr:uid="{E015B086-05E6-4818-BA4C-28BDEF5735EC}"/>
    <cellStyle name="Normal 166 2" xfId="406" xr:uid="{34158DF4-8323-4F49-B91E-92E76480696C}"/>
    <cellStyle name="Normal 167" xfId="407" xr:uid="{6B6FBEE5-4C16-43ED-AA34-FBCDA617D939}"/>
    <cellStyle name="Normal 168" xfId="394" xr:uid="{6FDE4AA6-69DD-4C4F-835A-5A829E958D4F}"/>
    <cellStyle name="Normal 169" xfId="378" xr:uid="{D1DB4DAB-548E-4785-9063-AC2026EBFF3F}"/>
    <cellStyle name="Normal 17" xfId="39" xr:uid="{EE9D86DA-A6F7-4202-B947-F0FB4CA285DB}"/>
    <cellStyle name="Normal 170" xfId="382" xr:uid="{11BAFEAF-EDC4-4ED6-9D72-EF8BDA398A9C}"/>
    <cellStyle name="Normal 171" xfId="327" xr:uid="{51A66049-B9DB-438A-9925-63B5A3EDF337}"/>
    <cellStyle name="Normal 172" xfId="377" xr:uid="{86C47CD3-6E49-464D-BE37-D63F5C5AD16C}"/>
    <cellStyle name="Normal 173" xfId="387" xr:uid="{9275888F-022C-4FCD-8B13-271100E7E968}"/>
    <cellStyle name="Normal 174" xfId="328" xr:uid="{E21D0DB3-5213-49FC-A989-019D731F4D03}"/>
    <cellStyle name="Normal 175" xfId="380" xr:uid="{C5EF56EC-F540-44AD-A55C-E274145CE425}"/>
    <cellStyle name="Normal 176" xfId="408" xr:uid="{BC961287-0D0D-4BA1-AA88-77126212F219}"/>
    <cellStyle name="Normal 177" xfId="409" xr:uid="{83E6AB4B-67A1-4DA7-850A-82EFB64E97E5}"/>
    <cellStyle name="Normal 178" xfId="383" xr:uid="{F2CB0A12-89E7-4BCF-8E25-C15C5FBF9AAB}"/>
    <cellStyle name="Normal 179" xfId="390" xr:uid="{F7F4C597-2730-457C-8B64-A2BB33F5060C}"/>
    <cellStyle name="Normal 18" xfId="40" xr:uid="{E3290CA7-9ADF-4222-A998-7EE53B02275D}"/>
    <cellStyle name="Normal 18 2" xfId="109" xr:uid="{86B702FE-5587-459C-BD3C-06AAB3D498EF}"/>
    <cellStyle name="Normal 18 2 2" xfId="177" xr:uid="{1A42F56B-F587-438D-9D64-9E0E7DEEED02}"/>
    <cellStyle name="Normal 18 2_Giao dịch mua bán" xfId="168" xr:uid="{4EDBB719-F09B-4A0F-A3B0-0A2927FE2A41}"/>
    <cellStyle name="Normal 18_Giao dịch mua bán" xfId="171" xr:uid="{5A6127FC-ED26-4ED9-8DE6-72ABF61002DA}"/>
    <cellStyle name="Normal 180" xfId="379" xr:uid="{19517555-D517-46F8-9FD4-469BD5832241}"/>
    <cellStyle name="Normal 181" xfId="389" xr:uid="{E22F8D4A-64C8-4E87-B174-292786E39DCE}"/>
    <cellStyle name="Normal 182" xfId="410" xr:uid="{1EC2A36D-BA2C-42EA-9322-880B3D82D946}"/>
    <cellStyle name="Normal 183" xfId="411" xr:uid="{34F87F1F-D9A1-4F7D-9FB5-60FCE919C8E0}"/>
    <cellStyle name="Normal 184" xfId="412" xr:uid="{DA36A18F-C30A-4136-9857-2A8D78B14FE8}"/>
    <cellStyle name="Normal 185" xfId="413" xr:uid="{42DA6256-268A-4176-B1DA-0FF420E1405C}"/>
    <cellStyle name="Normal 186" xfId="414" xr:uid="{3335BE09-9A3A-46C6-85B3-AD58641E54FE}"/>
    <cellStyle name="Normal 187" xfId="25" xr:uid="{70511BA6-9BF5-4A6C-9D47-FE2596138EE6}"/>
    <cellStyle name="Normal 188" xfId="415" xr:uid="{27B9DC26-583D-4C55-9A84-2EF5ECAE0F82}"/>
    <cellStyle name="Normal 188 2" xfId="539" xr:uid="{13B880F6-E379-4705-A674-93ACABAC5486}"/>
    <cellStyle name="Normal 189" xfId="419" xr:uid="{F33B73E7-4635-4BA3-9D4C-B68D33C93754}"/>
    <cellStyle name="Normal 19" xfId="58" xr:uid="{2742AC2A-CAB9-4C7A-8FE5-44A8F29F522B}"/>
    <cellStyle name="Normal 190" xfId="417" xr:uid="{B78121CA-F6BA-4F40-B59B-1C8FC3B9C9E1}"/>
    <cellStyle name="Normal 191" xfId="423" xr:uid="{FA827A61-CB83-40BD-82A0-F69EEA7045B4}"/>
    <cellStyle name="Normal 192" xfId="3" xr:uid="{FB8C0B16-4714-4DD8-AC9A-4ADDCF8380CB}"/>
    <cellStyle name="Normal 193" xfId="424" xr:uid="{D867AC9A-B72F-4ACE-8A81-55CE4D233166}"/>
    <cellStyle name="Normal 194" xfId="425" xr:uid="{3AAA5950-9E62-4B5B-8CA7-3A7A7A7D3BCF}"/>
    <cellStyle name="Normal 195" xfId="426" xr:uid="{447A820B-1DAA-4DF2-AB8E-2DE5845D278C}"/>
    <cellStyle name="Normal 196" xfId="427" xr:uid="{96B7806A-3DEF-4B05-ADB0-74B97C930096}"/>
    <cellStyle name="Normal 197" xfId="484" xr:uid="{ACFCBE38-7BF8-4F44-BE33-986993174A8B}"/>
    <cellStyle name="Normal 198" xfId="460" xr:uid="{F374A8C4-E836-4FA7-9A64-0621A3AAC93A}"/>
    <cellStyle name="Normal 199" xfId="462" xr:uid="{CC6914FD-D8E0-4CDD-9CC4-8D2EC467CCED}"/>
    <cellStyle name="Normal 2" xfId="9" xr:uid="{14D41463-E849-4E1E-9D9B-B9B52F70AB82}"/>
    <cellStyle name="Normal 2 10" xfId="421" xr:uid="{70EE7124-5ABF-48CD-ADC4-52A72E774C95}"/>
    <cellStyle name="Normal 2 11" xfId="464" xr:uid="{B29A3356-ED56-4DC2-A2DB-653AD13EB936}"/>
    <cellStyle name="Normal 2 12" xfId="527" xr:uid="{E2051198-C41F-496C-904F-20A06C905A96}"/>
    <cellStyle name="Normal 2 13" xfId="546" xr:uid="{DFCC9724-D3FF-4D37-BF49-DB04858FF293}"/>
    <cellStyle name="Normal 2 2" xfId="29" xr:uid="{9FDAB0E8-31D2-4C41-B4F9-8B15D65AC8F8}"/>
    <cellStyle name="Normal 2 2 2" xfId="101" xr:uid="{868D4CF2-5E22-4B2E-A8E0-D002F0F897D3}"/>
    <cellStyle name="Normal 2 2 2 2" xfId="509" xr:uid="{EDD27773-EF79-46DA-BA08-39D73522F9DB}"/>
    <cellStyle name="Normal 2 2 3" xfId="497" xr:uid="{1C660D85-39D4-408E-A0B6-4C9DCB2F9E1A}"/>
    <cellStyle name="Normal 2 2 4" xfId="531" xr:uid="{8C299BA0-F1C0-43AF-B269-BF5BCC1F2FB1}"/>
    <cellStyle name="Normal 2 3" xfId="37" xr:uid="{7F53C099-11DE-403A-A023-4C19DCADBA2B}"/>
    <cellStyle name="Normal 2 3 2" xfId="100" xr:uid="{227FB79C-147D-4EBD-9058-B8D52B636C79}"/>
    <cellStyle name="Normal 2 3 2 2" xfId="516" xr:uid="{57DA627F-3A94-4A9C-AE9C-6A9BBD60028A}"/>
    <cellStyle name="Normal 2 3 2 3" xfId="537" xr:uid="{EC84CFAA-2112-487A-8461-EDE020856CA4}"/>
    <cellStyle name="Normal 2 3 3" xfId="513" xr:uid="{06CE7877-1817-46FC-83F0-82D8936F6844}"/>
    <cellStyle name="Normal 2 3 4" xfId="558" xr:uid="{0601E332-2ED6-45AF-BA73-4004C38EEE72}"/>
    <cellStyle name="Normal 2 3_Giao dịch mua bán" xfId="163" xr:uid="{0D504FB8-FFB4-41C0-9BCE-ACE81A2D3F30}"/>
    <cellStyle name="Normal 2 4" xfId="11" xr:uid="{BC49E61B-CF74-494A-8D19-8A59EE6BA2A5}"/>
    <cellStyle name="Normal 2 4 2" xfId="131" xr:uid="{DD1B2A4B-CEF1-410D-93BA-D65E1265FFC3}"/>
    <cellStyle name="Normal 2 4 3" xfId="31" xr:uid="{42CA8D35-A3B1-45B3-AFE7-CA8B648E0D42}"/>
    <cellStyle name="Normal 2 4 4" xfId="466" xr:uid="{E8EC35F8-E830-4EAD-A3AD-F1E2DBA027BE}"/>
    <cellStyle name="Normal 2 4_Giao dịch mua bán" xfId="173" xr:uid="{C7F71F4C-DA45-487A-AFED-C26E06FEB705}"/>
    <cellStyle name="Normal 2 5" xfId="69" xr:uid="{E6047C6C-DA8A-475B-83F4-3BED4F4AB221}"/>
    <cellStyle name="Normal 2 5 2" xfId="449" xr:uid="{CE3EACBA-8295-49AF-BC05-312DDF006209}"/>
    <cellStyle name="Normal 2 5 3" xfId="510" xr:uid="{212AFA76-A7D5-44A4-AE0B-2A98FBFEDA35}"/>
    <cellStyle name="Normal 2 6" xfId="191" xr:uid="{7331ED4A-008D-4F8D-B6B2-DD0C806A6396}"/>
    <cellStyle name="Normal 2 7" xfId="27" xr:uid="{EF452448-CBB5-4B16-88AD-A823C1643AE3}"/>
    <cellStyle name="Normal 2 8" xfId="416" xr:uid="{3FF4B6CC-258D-4952-8CB0-1057056A0F86}"/>
    <cellStyle name="Normal 2 9" xfId="418" xr:uid="{3E64D2E2-BB03-482E-A3FA-5A3557CAB55E}"/>
    <cellStyle name="Normal 2_Giao dịch mua bán" xfId="158" xr:uid="{8A16001D-B137-4F5C-B172-9BCC9D3E068C}"/>
    <cellStyle name="Normal 20" xfId="42" xr:uid="{EFC4B323-FA9A-40EB-B49B-E0A9747431DE}"/>
    <cellStyle name="Normal 200" xfId="489" xr:uid="{4FFE91BB-4613-4229-8F10-0F1F0D0585E6}"/>
    <cellStyle name="Normal 201" xfId="490" xr:uid="{4B78A9CB-98A5-488E-B98D-F673B1BB7337}"/>
    <cellStyle name="Normal 202" xfId="498" xr:uid="{B72F1C9F-ACD6-4AB8-9C05-969970428572}"/>
    <cellStyle name="Normal 203" xfId="540" xr:uid="{24BAA499-3A90-445D-A397-76AE20A9E791}"/>
    <cellStyle name="Normal 204" xfId="545" xr:uid="{97C09E7E-C809-411A-93E4-71E09F671882}"/>
    <cellStyle name="Normal 205" xfId="552" xr:uid="{F38B5A0B-B66C-4BCA-A024-3A2611B8151F}"/>
    <cellStyle name="Normal 21" xfId="54" xr:uid="{F8372EA6-17FF-4ABB-AB9D-2B8004B1411F}"/>
    <cellStyle name="Normal 22" xfId="57" xr:uid="{1EA640BB-D8DE-4B2B-A4F2-2144C1F85BE8}"/>
    <cellStyle name="Normal 23" xfId="55" xr:uid="{EDBA609B-F79A-4B5D-889F-341791BBEBBB}"/>
    <cellStyle name="Normal 24" xfId="56" xr:uid="{7A28A1C4-A85B-42DC-BA7B-4EF07D8A9FD4}"/>
    <cellStyle name="Normal 25" xfId="41" xr:uid="{4EE2CA15-35D2-49D1-ABDB-84502C20E346}"/>
    <cellStyle name="Normal 26" xfId="33" xr:uid="{7D2B31E9-9408-4DB0-8422-CF099C170753}"/>
    <cellStyle name="Normal 27" xfId="59" xr:uid="{DAB5FDB0-5FBD-439D-AFFA-C18BD2603392}"/>
    <cellStyle name="Normal 28" xfId="66" xr:uid="{C1C34E4C-2C3B-45F5-8836-E887206DF517}"/>
    <cellStyle name="Normal 29" xfId="67" xr:uid="{49EE632D-CB54-4A93-B5BC-38350EA9BC9B}"/>
    <cellStyle name="Normal 3" xfId="35" xr:uid="{756F04A2-805A-42AF-8292-92EE4AF05264}"/>
    <cellStyle name="Normal 3 10" xfId="551" xr:uid="{693A2DF6-94E9-49C4-AB0D-078196E3DD4E}"/>
    <cellStyle name="Normal 3 2" xfId="102" xr:uid="{1BDC4BAE-95BF-4333-817F-36B6D3214CC8}"/>
    <cellStyle name="Normal 3 2 2" xfId="517" xr:uid="{B2767FAB-070D-4BB2-A3F4-0CA394358790}"/>
    <cellStyle name="Normal 3 2 20" xfId="112" xr:uid="{B50CE316-131A-4E33-A9AA-4525E99F9D3E}"/>
    <cellStyle name="Normal 3 2 3" xfId="559" xr:uid="{FC3256B9-7BCC-450D-BF85-D3CD49E60528}"/>
    <cellStyle name="Normal 3 2_Giao dịch mua bán" xfId="162" xr:uid="{BCB88DD7-0180-4409-BF9A-46FDE42770D9}"/>
    <cellStyle name="Normal 3 3" xfId="74" xr:uid="{774EE156-130B-431C-A17D-9871C9E7905C}"/>
    <cellStyle name="Normal 3 3 2" xfId="381" xr:uid="{F02C408F-71FC-4E15-8517-EE77CCFBEC11}"/>
    <cellStyle name="Normal 3 3 3" xfId="511" xr:uid="{49E15601-B285-4B33-ABBA-C85FCA1C4C75}"/>
    <cellStyle name="Normal 3 3 4" xfId="529" xr:uid="{4FEB6145-D811-46B1-90E8-4146D0C07E32}"/>
    <cellStyle name="Normal 3 4" xfId="495" xr:uid="{C4E043AC-862B-4ECE-9FCF-1DC211FA246D}"/>
    <cellStyle name="Normal 3 5" xfId="491" xr:uid="{5BDF2D1C-B244-4020-B99E-EFEE52DD6C25}"/>
    <cellStyle name="Normal 3 6" xfId="541" xr:uid="{246C3708-EEAB-416D-8E6D-3CC2C3AD02C2}"/>
    <cellStyle name="Normal 3 7" xfId="548" xr:uid="{2C996AD3-C43F-4B20-BCA9-650B2B091E28}"/>
    <cellStyle name="Normal 3 8" xfId="550" xr:uid="{F40F016B-337A-4DA4-A6A5-A04EA36B4558}"/>
    <cellStyle name="Normal 3 9" xfId="493" xr:uid="{565016B4-61A7-4F11-85DB-B8DBC3278BC8}"/>
    <cellStyle name="Normal 3_Giao dịch mua bán" xfId="174" xr:uid="{E2994915-4E5D-4E39-A6F6-795CF596D2C7}"/>
    <cellStyle name="Normal 30" xfId="90" xr:uid="{C8663F12-829A-4EB3-81B2-FA6161E18D03}"/>
    <cellStyle name="Normal 31" xfId="120" xr:uid="{C187B7DE-BE8F-44EA-AFB3-8B7D7A23483B}"/>
    <cellStyle name="Normal 32" xfId="119" xr:uid="{69F2D47A-573C-4C5B-9BB1-D073A02790BE}"/>
    <cellStyle name="Normal 33" xfId="121" xr:uid="{91B1B894-5150-440E-8D4D-0DB97EABAAE1}"/>
    <cellStyle name="Normal 34" xfId="125" xr:uid="{9CBA4F63-A67A-4382-BC13-6557DAED5C95}"/>
    <cellStyle name="Normal 35" xfId="126" xr:uid="{20760D9E-435C-4F5A-8D02-3D52D3C5D20E}"/>
    <cellStyle name="Normal 36" xfId="127" xr:uid="{79222708-AE31-475F-AAB8-22482F80A016}"/>
    <cellStyle name="Normal 37" xfId="12" xr:uid="{E1B04BE6-D3BD-48C5-9C7B-73EE8E1EAD51}"/>
    <cellStyle name="Normal 37 2" xfId="128" xr:uid="{0284E41A-5FE2-41F3-BCED-25BFB5CDB776}"/>
    <cellStyle name="Normal 37 3" xfId="467" xr:uid="{ABE89BA2-E304-401E-BAF1-0EFDDF515529}"/>
    <cellStyle name="Normal 38" xfId="129" xr:uid="{C71C9728-9CF6-4751-8F9C-7C467D1E51E5}"/>
    <cellStyle name="Normal 39" xfId="130" xr:uid="{D800C982-8608-4B2A-8058-22660522DC98}"/>
    <cellStyle name="Normal 4" xfId="24" xr:uid="{F2154E50-524C-41BC-8D8C-A40F1E952076}"/>
    <cellStyle name="Normal 4 2" xfId="103" xr:uid="{70000E2B-5A24-49FB-9955-1FE99D1E5A4D}"/>
    <cellStyle name="Normal 4 3" xfId="75" xr:uid="{2D730CCB-7B62-4CBC-9D42-2D74835646C0}"/>
    <cellStyle name="Normal 4 3 2" xfId="384" xr:uid="{B67F1C81-E2A4-4AE2-B1AE-B7F621591D6A}"/>
    <cellStyle name="Normal 4 4" xfId="30" xr:uid="{9B676CBF-1053-420C-B19A-7303FF722947}"/>
    <cellStyle name="Normal 4 5" xfId="472" xr:uid="{78012B49-0B79-41DE-8813-42C8B1335F7C}"/>
    <cellStyle name="Normal 4 6" xfId="549" xr:uid="{E7F28119-4FB9-437A-A8FE-3B69C22B9C0D}"/>
    <cellStyle name="Normal 4_Giao dịch mua bán" xfId="169" xr:uid="{2B8F71AD-22AC-45C4-9CFD-177AD031AE2B}"/>
    <cellStyle name="Normal 40" xfId="132" xr:uid="{D5F4F815-1923-4AB2-8CA1-B5E91DC4027C}"/>
    <cellStyle name="Normal 41" xfId="133" xr:uid="{66468C29-B2B0-47AF-B9B8-63CEFF900907}"/>
    <cellStyle name="Normal 42" xfId="134" xr:uid="{CC6463B6-3AFF-4EA4-8817-73D300FA33FB}"/>
    <cellStyle name="Normal 43" xfId="135" xr:uid="{DBBE5EF4-FE90-4FC5-AC49-C30F59782B57}"/>
    <cellStyle name="Normal 44" xfId="138" xr:uid="{E5C2AD9D-BF51-4291-B232-F06622674F74}"/>
    <cellStyle name="Normal 45" xfId="142" xr:uid="{F80D52A3-779C-493E-94E3-19045327FCAD}"/>
    <cellStyle name="Normal 46" xfId="143" xr:uid="{CF7CA70B-83D0-4060-83B7-68691469EDEB}"/>
    <cellStyle name="Normal 47" xfId="144" xr:uid="{45434D9C-5995-4563-BD5D-49C517209AE5}"/>
    <cellStyle name="Normal 48" xfId="145" xr:uid="{0CD64D95-82DC-4087-A7DB-85B05DC7C8AF}"/>
    <cellStyle name="Normal 49" xfId="147" xr:uid="{AAAA09C8-8AB9-4B5A-901C-6F73B38D594F}"/>
    <cellStyle name="Normal 5" xfId="22" xr:uid="{2D680F33-783C-4BDF-A0BD-7804ACDC12DB}"/>
    <cellStyle name="Normal 5 2" xfId="104" xr:uid="{2AB0D440-82BD-40DE-ABD6-7F8E28F317AD}"/>
    <cellStyle name="Normal 5 2 2" xfId="520" xr:uid="{E7631670-8F92-4D34-AF5D-C4F3C3FC37FB}"/>
    <cellStyle name="Normal 5 2 3" xfId="535" xr:uid="{C0889ABD-F7EA-49F9-B938-65939B9098A5}"/>
    <cellStyle name="Normal 5 3" xfId="76" xr:uid="{A41351DC-E478-4BC6-B841-155CBF7E15FD}"/>
    <cellStyle name="Normal 5 3 2" xfId="385" xr:uid="{A3AB4245-29BD-4DD0-91F4-5B172FC909EB}"/>
    <cellStyle name="Normal 5 4" xfId="43" xr:uid="{509B82D8-1971-42A5-AA5A-3A6D7D7CEE96}"/>
    <cellStyle name="Normal 5 5" xfId="471" xr:uid="{4D3ECDA9-9684-4509-BCBD-C209559B2F0E}"/>
    <cellStyle name="Normal 5 6" xfId="547" xr:uid="{0636CACE-7E04-4CF5-B74F-3F2A71261BD2}"/>
    <cellStyle name="Normal 5_Giao dịch mua bán" xfId="181" xr:uid="{8790F8EA-992B-4EAE-85B5-E9592223DF06}"/>
    <cellStyle name="Normal 50" xfId="151" xr:uid="{C74F9713-C3C4-4BED-8E40-75F998CE2D0C}"/>
    <cellStyle name="Normal 51" xfId="152" xr:uid="{269A54E6-6A80-4916-9665-D4FCCB9EF85F}"/>
    <cellStyle name="Normal 52" xfId="150" xr:uid="{407BBB08-47D8-4772-8F07-1F6156BAAA53}"/>
    <cellStyle name="Normal 53" xfId="146" xr:uid="{7317B40F-A8B1-4DC4-A974-92DDDD43E57B}"/>
    <cellStyle name="Normal 54" xfId="148" xr:uid="{BE93FD55-2732-47E6-BD5F-A00205A5B53C}"/>
    <cellStyle name="Normal 55" xfId="149" xr:uid="{CE2DEF48-96EB-408D-B40F-5C97DA991898}"/>
    <cellStyle name="Normal 56" xfId="153" xr:uid="{BD0263C4-23E0-48DB-9B54-0C6236D33E12}"/>
    <cellStyle name="Normal 57" xfId="156" xr:uid="{B0E83C7A-EC16-4C82-B506-0F3DBDD5B651}"/>
    <cellStyle name="Normal 58" xfId="187" xr:uid="{BF86F506-FE9B-4655-B9D1-70F0FD73AC4C}"/>
    <cellStyle name="Normal 59" xfId="188" xr:uid="{C604EC0B-DD41-4394-8B04-5921FE7255F5}"/>
    <cellStyle name="Normal 6" xfId="34" xr:uid="{7DBDAD61-AD90-4EB0-88AE-81C998E1721A}"/>
    <cellStyle name="Normal 6 10" xfId="554" xr:uid="{F6F533E7-B688-4D3D-8D3B-9CA98BAAFDF8}"/>
    <cellStyle name="Normal 6 17" xfId="13" xr:uid="{0C354ACD-82EB-4BFB-B414-B268763C9E25}"/>
    <cellStyle name="Normal 6 2" xfId="105" xr:uid="{AB43DCDD-A337-43B2-92D8-7971A029F4C4}"/>
    <cellStyle name="Normal 6 2 2" xfId="500" xr:uid="{F9D27C79-7FB0-41E6-B8A6-6643FECE1AD0}"/>
    <cellStyle name="Normal 6 3" xfId="496" xr:uid="{A9D6F753-10C0-4978-9464-56A2AE7993C6}"/>
    <cellStyle name="Normal 6 4" xfId="536" xr:uid="{95E6679B-5C02-4530-8069-DEE662F1DEE2}"/>
    <cellStyle name="Normal 6 5" xfId="560" xr:uid="{C0EE99FA-DDF2-4685-87BA-CB10A94CF206}"/>
    <cellStyle name="Normal 6_Giao dịch mua bán" xfId="182" xr:uid="{95EDFC84-51ED-40F2-A0CA-AFACF1428981}"/>
    <cellStyle name="Normal 60" xfId="189" xr:uid="{11865D0C-AAC4-477A-97C3-449FD962426D}"/>
    <cellStyle name="Normal 60 2" xfId="250" xr:uid="{FECD238A-35C3-4A3F-A7D1-C621A776DC6B}"/>
    <cellStyle name="Normal 60 3" xfId="243" xr:uid="{ACB83C6A-D966-4216-888F-29D6E6E823F8}"/>
    <cellStyle name="Normal 61" xfId="190" xr:uid="{3165D47E-E4AC-4D95-8343-722801093EEC}"/>
    <cellStyle name="Normal 62" xfId="192" xr:uid="{CD62EF01-CCF0-45F1-9773-5AEDE8CBDA57}"/>
    <cellStyle name="Normal 63" xfId="193" xr:uid="{801A2107-8C72-471A-BF01-563D0B847761}"/>
    <cellStyle name="Normal 64" xfId="194" xr:uid="{0582C8B0-AFFF-4CD3-9CC6-7FFD1C9B8EC1}"/>
    <cellStyle name="Normal 65" xfId="195" xr:uid="{4EB2242C-B952-4862-8738-D336A33AA2F6}"/>
    <cellStyle name="Normal 66" xfId="196" xr:uid="{88783957-5BE3-4B23-B1DA-C24CD0D8A80C}"/>
    <cellStyle name="Normal 67" xfId="197" xr:uid="{E768A0A5-FFD6-4B03-BB8B-720CB361865D}"/>
    <cellStyle name="Normal 68" xfId="198" xr:uid="{2C49B623-E1B8-4DC9-A063-D70A45B94A36}"/>
    <cellStyle name="Normal 68 2" xfId="251" xr:uid="{7573BE94-2C13-4ED3-AF4F-969BD9EAAA94}"/>
    <cellStyle name="Normal 68 3" xfId="244" xr:uid="{D3325060-AF43-48FB-96D8-15B7825B0B4C}"/>
    <cellStyle name="Normal 69" xfId="78" xr:uid="{8D70F634-3FD3-45C1-A2CA-7A02F47B784D}"/>
    <cellStyle name="Normal 7" xfId="8" xr:uid="{2537FE2A-C840-4C84-B658-61CA315FA1B8}"/>
    <cellStyle name="Normal 7 2" xfId="106" xr:uid="{D1E192F1-1C5D-48DE-8A4A-00224B83ACFC}"/>
    <cellStyle name="Normal 7 3" xfId="77" xr:uid="{9504AAEC-665B-44EA-B917-06BABFBBC807}"/>
    <cellStyle name="Normal 7 3 2" xfId="386" xr:uid="{C2ED58AC-817E-443D-9DDA-215D9F8EC514}"/>
    <cellStyle name="Normal 7 4" xfId="47" xr:uid="{C524473B-3967-4BFF-8D36-53782B924789}"/>
    <cellStyle name="Normal 7_Giao dịch mua bán" xfId="183" xr:uid="{2157F379-F68A-467A-976C-3EEC7B40196D}"/>
    <cellStyle name="Normal 70" xfId="199" xr:uid="{16A05DE5-440C-4A33-8678-EE5BDC9F3226}"/>
    <cellStyle name="Normal 71" xfId="122" xr:uid="{0A788CFC-EED5-4E73-A629-4D13616152BF}"/>
    <cellStyle name="Normal 71 2" xfId="60" xr:uid="{11ACC722-DE5B-4783-8AA1-68C430B107A6}"/>
    <cellStyle name="Normal 71 2 2" xfId="89" xr:uid="{3BFFC274-2F36-4731-82B0-740C3929C358}"/>
    <cellStyle name="Normal 72" xfId="200" xr:uid="{95B09A6F-7568-4F99-9779-E935BAA31DA6}"/>
    <cellStyle name="Normal 73" xfId="201" xr:uid="{FF85F355-6C01-4A5E-B483-B28D9E1B0D37}"/>
    <cellStyle name="Normal 74" xfId="203" xr:uid="{CE53DF00-00C5-4895-8915-1A0381736D0E}"/>
    <cellStyle name="Normal 74 2" xfId="252" xr:uid="{353A2465-2502-44CE-82CB-F40C91406AE0}"/>
    <cellStyle name="Normal 74 3" xfId="245" xr:uid="{5EDFA0C9-BAF2-469B-BA71-BB4844080C23}"/>
    <cellStyle name="Normal 75" xfId="202" xr:uid="{5971F9BE-2AF2-4920-A8E3-24D4DD91AC67}"/>
    <cellStyle name="Normal 76" xfId="84" xr:uid="{AA366FF4-BC2A-4238-85EB-85FD810A08E3}"/>
    <cellStyle name="Normal 76 2" xfId="136" xr:uid="{92504321-FFAF-4F8D-8776-F355C1A85EEF}"/>
    <cellStyle name="Normal 76_Giao dịch mua bán" xfId="184" xr:uid="{D3185232-C0C0-4836-8E50-4AA485564811}"/>
    <cellStyle name="Normal 77" xfId="88" xr:uid="{342210D8-0FEA-40B8-ADF0-E7556FAC879A}"/>
    <cellStyle name="Normal 78" xfId="208" xr:uid="{3101D344-FE72-4CD0-8E7E-76AE69045DCB}"/>
    <cellStyle name="Normal 78 2" xfId="254" xr:uid="{BE6445F6-1563-4C4B-B966-1E7A0E5473D2}"/>
    <cellStyle name="Normal 78 3" xfId="246" xr:uid="{1D58DF66-B294-48F0-AB62-399B2B11FA31}"/>
    <cellStyle name="Normal 79" xfId="206" xr:uid="{DDC75A6C-E7B9-4A1B-8E4B-4D89912865DD}"/>
    <cellStyle name="Normal 79 2" xfId="253" xr:uid="{362683C4-EDAE-42D9-85FE-3753AC718995}"/>
    <cellStyle name="Normal 79 3" xfId="247" xr:uid="{67B79932-F61F-4B77-B963-BD918C2EB4F5}"/>
    <cellStyle name="Normal 8" xfId="50" xr:uid="{A583CD6D-4DD5-4F7F-9F00-3DAF190E4718}"/>
    <cellStyle name="Normal 8 2" xfId="107" xr:uid="{A4BDBF8E-F91B-4C14-A750-E6B891409560}"/>
    <cellStyle name="Normal 8 3" xfId="79" xr:uid="{8D5B2DEE-CBF2-42D7-BC81-69A7E9B02E04}"/>
    <cellStyle name="Normal 8_Giao dịch mua bán" xfId="185" xr:uid="{CFE2C6B6-34A8-42D2-B7AC-9331596AEAD1}"/>
    <cellStyle name="Normal 80" xfId="209" xr:uid="{D20BDAFF-848E-4EBD-AD3C-6146248B5F45}"/>
    <cellStyle name="Normal 80 2" xfId="255" xr:uid="{EEC9F29C-3055-42D7-AB2F-3CFB4E210BFF}"/>
    <cellStyle name="Normal 80 3" xfId="248" xr:uid="{8D38F002-53D6-4355-8576-169F47B3FB72}"/>
    <cellStyle name="Normal 81" xfId="210" xr:uid="{581454BD-C2BE-434A-A725-99D77128FBB3}"/>
    <cellStyle name="Normal 81 2" xfId="256" xr:uid="{B23C004F-1535-45FE-997E-6898CB571431}"/>
    <cellStyle name="Normal 81 3" xfId="249" xr:uid="{D8782691-2461-400E-88C8-2E8FF8926A92}"/>
    <cellStyle name="Normal 82" xfId="207" xr:uid="{271FB72A-1CA2-4ADD-83F5-E4B522CB9CCF}"/>
    <cellStyle name="Normal 83" xfId="213" xr:uid="{86C4B91F-49B4-476D-8296-1FCB6738B010}"/>
    <cellStyle name="Normal 84" xfId="214" xr:uid="{98B7D263-EEB4-4CAB-968A-7F0DF72D73A8}"/>
    <cellStyle name="Normal 85" xfId="212" xr:uid="{B7D9E584-943F-4E8A-B3E0-8A7E90ACAC13}"/>
    <cellStyle name="Normal 86" xfId="215" xr:uid="{0817BD3C-BBD8-49E8-96FF-07A536BBFB2E}"/>
    <cellStyle name="Normal 86 2" xfId="346" xr:uid="{2FE106C8-5438-4830-9E6F-E9957A5AB2BA}"/>
    <cellStyle name="Normal 86 3" xfId="376" xr:uid="{754A8A21-8948-4147-8200-8A6EAA28A9F6}"/>
    <cellStyle name="Normal 87" xfId="86" xr:uid="{AED00B1C-0767-4CD0-B1F1-66DB757EF4EB}"/>
    <cellStyle name="Normal 88" xfId="216" xr:uid="{E1C217F7-6B41-4B3D-B803-F9778F809EA0}"/>
    <cellStyle name="Normal 88 2" xfId="345" xr:uid="{803AFBA2-67EF-415D-8FF8-4478009502BC}"/>
    <cellStyle name="Normal 88 3" xfId="375" xr:uid="{B415AE05-7712-44D1-92BD-C8A91C06AB4B}"/>
    <cellStyle name="Normal 89" xfId="217" xr:uid="{12288A93-1673-42CB-A9D3-C0BF33B6C0CE}"/>
    <cellStyle name="Normal 89 2" xfId="388" xr:uid="{17F57520-F8F7-4E11-AAEA-7E7164E86F5A}"/>
    <cellStyle name="Normal 89 3" xfId="374" xr:uid="{FD62ECB7-F504-4830-948C-FC722BA84151}"/>
    <cellStyle name="Normal 9" xfId="51" xr:uid="{CB83912D-F8EE-41A9-96FB-9AD61E5122F2}"/>
    <cellStyle name="Normal 9 2" xfId="108" xr:uid="{63281F0C-19E5-44F9-9714-750F00226CFC}"/>
    <cellStyle name="Normal 9 2 2" xfId="518" xr:uid="{E21915A9-F92C-46A1-81F5-3BD415734951}"/>
    <cellStyle name="Normal 9 3" xfId="519" xr:uid="{58A6142A-2DD1-4B11-A4D1-85C47F1D7EE2}"/>
    <cellStyle name="Normal 9 4" xfId="492" xr:uid="{1A92B278-B1AA-4102-B9BC-018D26E59121}"/>
    <cellStyle name="Normal 9_Giao dịch mua bán" xfId="186" xr:uid="{9807578F-70B1-4C9F-8960-2F34704E1C18}"/>
    <cellStyle name="Normal 90" xfId="64" xr:uid="{EF74924D-9962-4FC3-B6FC-99D3731D7E97}"/>
    <cellStyle name="Normal 91" xfId="218" xr:uid="{EFD8ED54-D247-4A12-9DA9-64273CB15019}"/>
    <cellStyle name="Normal 91 2" xfId="344" xr:uid="{AE2DFFE3-2EA2-44D3-B804-B4E7FE9ACC10}"/>
    <cellStyle name="Normal 91 3" xfId="358" xr:uid="{9966CFA6-B658-4DBF-BB27-F9385EA70A5F}"/>
    <cellStyle name="Normal 92" xfId="219" xr:uid="{41731B89-058D-4C34-9F01-B156EA31BFC6}"/>
    <cellStyle name="Normal 92 2" xfId="343" xr:uid="{1DE2A1BA-CB5C-4D9B-B828-C67A4EA836D4}"/>
    <cellStyle name="Normal 92 3" xfId="372" xr:uid="{D6E696CF-F4B0-46F4-B9C3-93C4099B1B70}"/>
    <cellStyle name="Normal 93" xfId="140" xr:uid="{2BA44C61-CA5A-483A-9583-43F87AC8E1F0}"/>
    <cellStyle name="Normal 94" xfId="220" xr:uid="{16BB7AF3-7D32-4558-90E0-CD046135140C}"/>
    <cellStyle name="Normal 94 2" xfId="342" xr:uid="{267F4060-2C28-48E4-B341-C59247BF622D}"/>
    <cellStyle name="Normal 94 3" xfId="364" xr:uid="{30652FB8-4004-4B83-8217-9EAE94B41656}"/>
    <cellStyle name="Normal 95" xfId="221" xr:uid="{945CD986-9877-47EA-88A2-CE4DEDA42C07}"/>
    <cellStyle name="Normal 95 2" xfId="341" xr:uid="{B3AE33D2-F671-4DDD-8D58-B54D9D066F5F}"/>
    <cellStyle name="Normal 95 3" xfId="373" xr:uid="{7A1DE571-02DC-451C-8F2D-BFFFB92B8E1D}"/>
    <cellStyle name="Normal 96" xfId="227" xr:uid="{9C1E0626-2A42-4835-B2D3-D20972179BBD}"/>
    <cellStyle name="Normal 97" xfId="222" xr:uid="{EE5F3908-A580-483F-AE53-39D33CC83B37}"/>
    <cellStyle name="Normal 97 2" xfId="239" xr:uid="{1E547E88-7C5E-4EB7-9B4E-FB4D4EB83919}"/>
    <cellStyle name="Normal 97 3" xfId="391" xr:uid="{DB8D97B5-912A-4477-AAC0-1A76B7335AC0}"/>
    <cellStyle name="Normal 97 4" xfId="356" xr:uid="{1D3A3C65-2984-4088-BA9B-4CC32C29B654}"/>
    <cellStyle name="Normal 98" xfId="228" xr:uid="{34C80DF0-70FE-413E-8BFF-F8338F359E7D}"/>
    <cellStyle name="Normal 98 2" xfId="241" xr:uid="{BFAEEA11-48D5-47B8-AA96-7AEA4C4CA149}"/>
    <cellStyle name="Normal 98 3" xfId="338" xr:uid="{7F55CBCC-4A9F-428D-83C0-C1E7584B7758}"/>
    <cellStyle name="Normal 98 4" xfId="360" xr:uid="{570D741E-1BA6-4281-BA32-357ECEA6C4DD}"/>
    <cellStyle name="Normal 99" xfId="225" xr:uid="{DFACDE3E-01EF-4484-8AFD-75116D19935C}"/>
    <cellStyle name="Normal 99 2" xfId="340" xr:uid="{191ED0DF-B272-4C7B-82FC-C63FB14DCCD3}"/>
    <cellStyle name="Normal 99 3" xfId="361" xr:uid="{D97368C6-9689-4E54-9288-15D4DB1E4C0C}"/>
    <cellStyle name="Normal_MHB2006-Proposed adjustment -IAS- v1" xfId="553" xr:uid="{52B044F7-6E48-48D2-A2EF-2D6EF058929A}"/>
    <cellStyle name="Percent" xfId="2" builtinId="5"/>
    <cellStyle name="Percent 10 3" xfId="526" xr:uid="{5198B4FF-238C-47CE-8E61-D5A2DA504613}"/>
    <cellStyle name="Percent 2" xfId="71" xr:uid="{1E5720AF-1008-44A1-AE14-B00109F93365}"/>
    <cellStyle name="Percent 2 2" xfId="81" xr:uid="{AA78EA0E-7E85-4B2C-85CD-3F54626B0E0B}"/>
    <cellStyle name="Percent 2 2 2" xfId="10" xr:uid="{AC393513-3139-4F40-9CDE-569E197DC95B}"/>
    <cellStyle name="Percent 2 2 2 2" xfId="20" xr:uid="{2F76AE6E-26BA-4D21-8A2F-D14C6D48F45F}"/>
    <cellStyle name="Percent 2 2 2 3" xfId="465" xr:uid="{493D825F-DE66-4FB9-A924-37838EF99C50}"/>
    <cellStyle name="Percent 2 3" xfId="176" xr:uid="{D6F6D5FE-1AE4-4A48-B323-37B0D9ECA4E2}"/>
    <cellStyle name="Percent 2 4" xfId="459" xr:uid="{B2D23B0B-65EE-4113-ACA1-878D2176092A}"/>
    <cellStyle name="Percent 2 6" xfId="117" xr:uid="{AF5C7931-13EE-45BB-A566-C00370340472}"/>
    <cellStyle name="Percent 20" xfId="18" xr:uid="{F4E7C57A-8904-4408-9F6E-20CC9A421BF7}"/>
    <cellStyle name="Percent 20 2" xfId="61" xr:uid="{002BB6C8-2854-43A3-98B6-5AE417695ADE}"/>
    <cellStyle name="Percent 21" xfId="155" xr:uid="{A035896B-9DFB-4C1D-9971-F5FBDC25FAC2}"/>
    <cellStyle name="Percent 22" xfId="92" xr:uid="{42828F1F-5CF4-4148-A4D7-F457012BB1EE}"/>
    <cellStyle name="Percent 3" xfId="82" xr:uid="{2CB778A8-48E1-4A8A-BA3E-F97FF8B6C558}"/>
    <cellStyle name="Percent 3 2" xfId="179" xr:uid="{115742C7-3927-4A81-A902-435F3134E5AA}"/>
    <cellStyle name="Percent 4" xfId="154" xr:uid="{6396FB81-AB6A-438F-80D6-BA83ED12E47B}"/>
    <cellStyle name="Percent 4 2" xfId="515" xr:uid="{7826A15F-0AE8-420A-9772-44358A203C08}"/>
    <cellStyle name="Percent 5" xfId="229" xr:uid="{15559726-1334-4586-9E96-ABD9AB580907}"/>
    <cellStyle name="Percent 6" xfId="447" xr:uid="{B252FB5A-EDC2-4AFB-8F2F-3E9EE36C7C16}"/>
    <cellStyle name="Percent 7" xfId="507" xr:uid="{BB3B330D-C236-4ADB-95E9-0DAF9D33C589}"/>
    <cellStyle name="Text Snip" xfId="23" xr:uid="{4C74768D-E01A-4A86-935F-69D62F646C19}"/>
    <cellStyle name="Title 2 2" xfId="502" xr:uid="{65518C43-5D7B-4F60-A966-AFD7BF1C53CD}"/>
    <cellStyle name="Title 2 2 2" xfId="15" xr:uid="{FA7D06F0-F40B-4DF9-A3D7-736BE74956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Sheet6!$B$2:$B$32</c:f>
              <c:strCache>
                <c:ptCount val="31"/>
                <c:pt idx="0">
                  <c:v>31-12-23</c:v>
                </c:pt>
                <c:pt idx="1">
                  <c:v> 102,616 </c:v>
                </c:pt>
                <c:pt idx="2">
                  <c:v> 102,616 </c:v>
                </c:pt>
                <c:pt idx="3">
                  <c:v> 102,965 </c:v>
                </c:pt>
                <c:pt idx="4">
                  <c:v> 102,965 </c:v>
                </c:pt>
                <c:pt idx="5">
                  <c:v> 102,965 </c:v>
                </c:pt>
                <c:pt idx="6">
                  <c:v> 102,965 </c:v>
                </c:pt>
                <c:pt idx="7">
                  <c:v> 102,965 </c:v>
                </c:pt>
                <c:pt idx="8">
                  <c:v> 102,965 </c:v>
                </c:pt>
                <c:pt idx="9">
                  <c:v> 102,965 </c:v>
                </c:pt>
                <c:pt idx="10">
                  <c:v> 102,965 </c:v>
                </c:pt>
                <c:pt idx="11">
                  <c:v> 102,965 </c:v>
                </c:pt>
                <c:pt idx="12">
                  <c:v> 102,965 </c:v>
                </c:pt>
                <c:pt idx="13">
                  <c:v> 102,965 </c:v>
                </c:pt>
                <c:pt idx="14">
                  <c:v> 102,965 </c:v>
                </c:pt>
                <c:pt idx="15">
                  <c:v> 102,965 </c:v>
                </c:pt>
                <c:pt idx="16">
                  <c:v> 103,242 </c:v>
                </c:pt>
                <c:pt idx="17">
                  <c:v> 103,242 </c:v>
                </c:pt>
                <c:pt idx="18">
                  <c:v> 103,242 </c:v>
                </c:pt>
                <c:pt idx="19">
                  <c:v> 103,242 </c:v>
                </c:pt>
                <c:pt idx="20">
                  <c:v> 103,242 </c:v>
                </c:pt>
                <c:pt idx="21">
                  <c:v> 103,242 </c:v>
                </c:pt>
                <c:pt idx="22">
                  <c:v> 103,242 </c:v>
                </c:pt>
                <c:pt idx="23">
                  <c:v> 103,242 </c:v>
                </c:pt>
                <c:pt idx="24">
                  <c:v> 103,242 </c:v>
                </c:pt>
                <c:pt idx="25">
                  <c:v> 103,242 </c:v>
                </c:pt>
                <c:pt idx="26">
                  <c:v> 103,242 </c:v>
                </c:pt>
                <c:pt idx="27">
                  <c:v> 103,242 </c:v>
                </c:pt>
                <c:pt idx="28">
                  <c:v> 103,242 </c:v>
                </c:pt>
                <c:pt idx="29">
                  <c:v> 103,242 </c:v>
                </c:pt>
                <c:pt idx="30">
                  <c:v> 103,242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Sheet6!$A$33:$A$76</c:f>
              <c:numCache>
                <c:formatCode>m/d/yyyy</c:formatCode>
                <c:ptCount val="44"/>
                <c:pt idx="0">
                  <c:v>45394</c:v>
                </c:pt>
                <c:pt idx="1">
                  <c:v>45395</c:v>
                </c:pt>
                <c:pt idx="2">
                  <c:v>45396</c:v>
                </c:pt>
                <c:pt idx="3">
                  <c:v>45397</c:v>
                </c:pt>
                <c:pt idx="4">
                  <c:v>45398</c:v>
                </c:pt>
                <c:pt idx="5">
                  <c:v>45399</c:v>
                </c:pt>
                <c:pt idx="6">
                  <c:v>45400</c:v>
                </c:pt>
                <c:pt idx="7">
                  <c:v>45401</c:v>
                </c:pt>
                <c:pt idx="8">
                  <c:v>45404</c:v>
                </c:pt>
                <c:pt idx="9">
                  <c:v>45405</c:v>
                </c:pt>
                <c:pt idx="10">
                  <c:v>45406</c:v>
                </c:pt>
                <c:pt idx="11">
                  <c:v>45407</c:v>
                </c:pt>
                <c:pt idx="12">
                  <c:v>45408</c:v>
                </c:pt>
                <c:pt idx="13">
                  <c:v>45414</c:v>
                </c:pt>
                <c:pt idx="14">
                  <c:v>45415</c:v>
                </c:pt>
                <c:pt idx="15">
                  <c:v>45418</c:v>
                </c:pt>
                <c:pt idx="16">
                  <c:v>45419</c:v>
                </c:pt>
                <c:pt idx="17">
                  <c:v>45420</c:v>
                </c:pt>
                <c:pt idx="18">
                  <c:v>45421</c:v>
                </c:pt>
                <c:pt idx="19">
                  <c:v>45422</c:v>
                </c:pt>
                <c:pt idx="20">
                  <c:v>45425</c:v>
                </c:pt>
                <c:pt idx="21">
                  <c:v>45426</c:v>
                </c:pt>
                <c:pt idx="22">
                  <c:v>45427</c:v>
                </c:pt>
                <c:pt idx="23">
                  <c:v>45428</c:v>
                </c:pt>
                <c:pt idx="24">
                  <c:v>45429</c:v>
                </c:pt>
                <c:pt idx="25">
                  <c:v>45432</c:v>
                </c:pt>
                <c:pt idx="26">
                  <c:v>45433</c:v>
                </c:pt>
                <c:pt idx="27">
                  <c:v>45434</c:v>
                </c:pt>
                <c:pt idx="28">
                  <c:v>45435</c:v>
                </c:pt>
                <c:pt idx="29">
                  <c:v>45436</c:v>
                </c:pt>
                <c:pt idx="30">
                  <c:v>45439</c:v>
                </c:pt>
                <c:pt idx="31">
                  <c:v>45440</c:v>
                </c:pt>
                <c:pt idx="32">
                  <c:v>45441</c:v>
                </c:pt>
                <c:pt idx="33">
                  <c:v>45442</c:v>
                </c:pt>
                <c:pt idx="34">
                  <c:v>45443</c:v>
                </c:pt>
                <c:pt idx="35">
                  <c:v>45446</c:v>
                </c:pt>
                <c:pt idx="36">
                  <c:v>45447</c:v>
                </c:pt>
                <c:pt idx="37">
                  <c:v>45448</c:v>
                </c:pt>
                <c:pt idx="38">
                  <c:v>45449</c:v>
                </c:pt>
                <c:pt idx="39">
                  <c:v>45450</c:v>
                </c:pt>
                <c:pt idx="40">
                  <c:v>45453</c:v>
                </c:pt>
                <c:pt idx="41">
                  <c:v>45454</c:v>
                </c:pt>
                <c:pt idx="42">
                  <c:v>45455</c:v>
                </c:pt>
                <c:pt idx="43">
                  <c:v>45456</c:v>
                </c:pt>
              </c:numCache>
            </c:numRef>
          </c:xVal>
          <c:yVal>
            <c:numRef>
              <c:f>Sheet6!$B$33:$B$76</c:f>
              <c:numCache>
                <c:formatCode>_(* #,##0_);_(* \(#,##0\);_(* "-"??_);_(@_)</c:formatCode>
                <c:ptCount val="44"/>
                <c:pt idx="0">
                  <c:v>103242</c:v>
                </c:pt>
                <c:pt idx="1">
                  <c:v>103242</c:v>
                </c:pt>
                <c:pt idx="2">
                  <c:v>103242</c:v>
                </c:pt>
                <c:pt idx="3">
                  <c:v>103242</c:v>
                </c:pt>
                <c:pt idx="4">
                  <c:v>103242</c:v>
                </c:pt>
                <c:pt idx="5">
                  <c:v>102642</c:v>
                </c:pt>
                <c:pt idx="6">
                  <c:v>102642</c:v>
                </c:pt>
                <c:pt idx="7">
                  <c:v>102642</c:v>
                </c:pt>
                <c:pt idx="8">
                  <c:v>102642</c:v>
                </c:pt>
                <c:pt idx="9">
                  <c:v>102642</c:v>
                </c:pt>
                <c:pt idx="10">
                  <c:v>102642</c:v>
                </c:pt>
                <c:pt idx="11">
                  <c:v>102642</c:v>
                </c:pt>
                <c:pt idx="12">
                  <c:v>102642</c:v>
                </c:pt>
                <c:pt idx="13">
                  <c:v>102642</c:v>
                </c:pt>
                <c:pt idx="14">
                  <c:v>102642</c:v>
                </c:pt>
                <c:pt idx="15">
                  <c:v>102642</c:v>
                </c:pt>
                <c:pt idx="16">
                  <c:v>104261</c:v>
                </c:pt>
                <c:pt idx="17">
                  <c:v>104261</c:v>
                </c:pt>
                <c:pt idx="18">
                  <c:v>104261</c:v>
                </c:pt>
                <c:pt idx="19">
                  <c:v>104261</c:v>
                </c:pt>
                <c:pt idx="20">
                  <c:v>101951</c:v>
                </c:pt>
                <c:pt idx="21">
                  <c:v>0</c:v>
                </c:pt>
                <c:pt idx="22">
                  <c:v>0</c:v>
                </c:pt>
                <c:pt idx="23">
                  <c:v>102025</c:v>
                </c:pt>
                <c:pt idx="24">
                  <c:v>102025</c:v>
                </c:pt>
                <c:pt idx="25">
                  <c:v>102025</c:v>
                </c:pt>
                <c:pt idx="26">
                  <c:v>102146</c:v>
                </c:pt>
                <c:pt idx="27">
                  <c:v>102171</c:v>
                </c:pt>
                <c:pt idx="28">
                  <c:v>102195</c:v>
                </c:pt>
                <c:pt idx="29">
                  <c:v>105000</c:v>
                </c:pt>
                <c:pt idx="30">
                  <c:v>102010</c:v>
                </c:pt>
                <c:pt idx="31">
                  <c:v>102010</c:v>
                </c:pt>
                <c:pt idx="32">
                  <c:v>102010</c:v>
                </c:pt>
                <c:pt idx="33">
                  <c:v>102010</c:v>
                </c:pt>
                <c:pt idx="34">
                  <c:v>102010</c:v>
                </c:pt>
                <c:pt idx="35">
                  <c:v>102010</c:v>
                </c:pt>
                <c:pt idx="36">
                  <c:v>105000</c:v>
                </c:pt>
                <c:pt idx="37">
                  <c:v>102511</c:v>
                </c:pt>
                <c:pt idx="38">
                  <c:v>105000</c:v>
                </c:pt>
                <c:pt idx="39">
                  <c:v>102608</c:v>
                </c:pt>
                <c:pt idx="40">
                  <c:v>102989</c:v>
                </c:pt>
                <c:pt idx="41">
                  <c:v>102989</c:v>
                </c:pt>
                <c:pt idx="42">
                  <c:v>102682</c:v>
                </c:pt>
                <c:pt idx="43">
                  <c:v>102682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30-4B26-919E-DEC5C88C0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7761448"/>
        <c:axId val="1027763968"/>
      </c:scatterChart>
      <c:valAx>
        <c:axId val="102776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63968"/>
        <c:crosses val="autoZero"/>
        <c:crossBetween val="midCat"/>
      </c:valAx>
      <c:valAx>
        <c:axId val="10277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76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415924</xdr:colOff>
      <xdr:row>39</xdr:row>
      <xdr:rowOff>139700</xdr:rowOff>
    </xdr:from>
    <xdr:to>
      <xdr:col>17</xdr:col>
      <xdr:colOff>6349</xdr:colOff>
      <xdr:row>54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CDFABC-D03A-1529-BAA6-DC3712B90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15</xdr:col>
      <xdr:colOff>596725</xdr:colOff>
      <xdr:row>28</xdr:row>
      <xdr:rowOff>63501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3891A-93CA-D964-E33D-9EDFC244D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645475" cy="5397500"/>
        </a:xfrm>
        <a:prstGeom prst="rect">
          <a:avLst/>
        </a:prstGeom>
      </xdr:spPr>
    </xdr:pic>
    <xdr:clientData/>
  </xdr:twoCellAnchor>
  <xdr:twoCellAnchor editAs="oneCell">
    <xdr:from>
      <xdr:col>17</xdr:col>
      <xdr:colOff>15875</xdr:colOff>
      <xdr:row>3</xdr:row>
      <xdr:rowOff>0</xdr:rowOff>
    </xdr:from>
    <xdr:to>
      <xdr:col>30</xdr:col>
      <xdr:colOff>296493</xdr:colOff>
      <xdr:row>26</xdr:row>
      <xdr:rowOff>29191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44C26A-471C-B383-2427-87CBE62EA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71125" y="571500"/>
          <a:ext cx="8726118" cy="4410691"/>
        </a:xfrm>
        <a:prstGeom prst="rect">
          <a:avLst/>
        </a:prstGeom>
      </xdr:spPr>
    </xdr:pic>
    <xdr:clientData/>
  </xdr:twoCellAnchor>
  <xdr:twoCellAnchor editAs="oneCell">
    <xdr:from>
      <xdr:col>1</xdr:col>
      <xdr:colOff>365124</xdr:colOff>
      <xdr:row>32</xdr:row>
      <xdr:rowOff>0</xdr:rowOff>
    </xdr:from>
    <xdr:to>
      <xdr:col>20</xdr:col>
      <xdr:colOff>227309</xdr:colOff>
      <xdr:row>62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E3DD541-FC76-14D5-C2C7-51CB3D7A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8374" y="6096000"/>
          <a:ext cx="11323935" cy="5762625"/>
        </a:xfrm>
        <a:prstGeom prst="rect">
          <a:avLst/>
        </a:prstGeom>
      </xdr:spPr>
    </xdr:pic>
    <xdr:clientData/>
  </xdr:twoCellAnchor>
  <xdr:twoCellAnchor editAs="oneCell">
    <xdr:from>
      <xdr:col>31</xdr:col>
      <xdr:colOff>473152</xdr:colOff>
      <xdr:row>6</xdr:row>
      <xdr:rowOff>31751</xdr:rowOff>
    </xdr:from>
    <xdr:to>
      <xdr:col>49</xdr:col>
      <xdr:colOff>280405</xdr:colOff>
      <xdr:row>24</xdr:row>
      <xdr:rowOff>73353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AA0DB0F-0B89-F0D7-D866-4258CCF4E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77152" y="1174751"/>
          <a:ext cx="10665753" cy="3470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oang_nguyen1_vn_ey_com/Documents/Finhay%20Group%20-%20Since%20HF2022/10.%20Finhay%20YE23%20-%20IFRS/3.%20WTB/Finhay%20YE23%20-%20WTB%20IFRS%20%20-%20v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hoang_nguyen1_vn_ey_com/Documents/Finhay%20Group%20-%20Since%20HF2022/10.%20Finhay%20YE23%20-%20IFRS/3.%20WTB/Finhay%20YE23%20-%20WTB%20IFRS%20%20-%20v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 TE"/>
      <sheetName val="A5 YE23"/>
      <sheetName val="A5 YE22"/>
      <sheetName val="LS"/>
      <sheetName val="A5.IFRS.YE23"/>
      <sheetName val="Revaluate"/>
      <sheetName val="A5.IFRS.YE22"/>
      <sheetName val="BS.IFRS"/>
      <sheetName val="PL.IFRS"/>
      <sheetName val="CF.IFRS"/>
      <sheetName val="SOCE.IFRS"/>
      <sheetName val="N2FS.IFRS"/>
      <sheetName val="Planning"/>
      <sheetName val="A5.CTC.YE23"/>
      <sheetName val="A5.Consol.YE23"/>
      <sheetName val="PL.VAS"/>
      <sheetName val="CF.VAS"/>
      <sheetName val="Matching investment"/>
      <sheetName val="BS.VAS"/>
      <sheetName val="Group"/>
      <sheetName val="CF.W.S"/>
      <sheetName val="TB.S.YE22"/>
      <sheetName val="GL911.S.YE23"/>
      <sheetName val="GL154.S.YE23"/>
      <sheetName val="BOM YE23"/>
      <sheetName val="TB.S.YE23"/>
      <sheetName val="CF.W.C"/>
      <sheetName val="TB.VNSC.YE22"/>
      <sheetName val="N2FS.C.VAS"/>
      <sheetName val="N2FS.S.VAS"/>
      <sheetName val="GW"/>
      <sheetName val="EPS"/>
      <sheetName val="TB.XH.YE23"/>
      <sheetName val="911.XH.YE23"/>
      <sheetName val="Dự phòng Finhay JSC"/>
      <sheetName val="TB.KCG.YE23"/>
      <sheetName val="911.KCG.YE23"/>
      <sheetName val="Finhay Ltd.911.YE23"/>
      <sheetName val="Finhay Ltd.TB.YE23"/>
      <sheetName val="911.CTC.YE22"/>
      <sheetName val="TB.CTC.YE22"/>
      <sheetName val="TB VNSC YE23"/>
      <sheetName val="TB.KCG.YE22"/>
      <sheetName val="911.KCG.YE22"/>
      <sheetName val="TB.XH.YE22"/>
      <sheetName val="911.XH.YE22"/>
      <sheetName val="911.VNSC.YE22"/>
      <sheetName val="911 VNSC YE23"/>
      <sheetName val="GL911.S.YE22"/>
      <sheetName val="GL154.S.YE22"/>
    </sheetNames>
    <sheetDataSet>
      <sheetData sheetId="0"/>
      <sheetData sheetId="1"/>
      <sheetData sheetId="2"/>
      <sheetData sheetId="3">
        <row r="6">
          <cell r="G6" t="str">
            <v>LS Account</v>
          </cell>
          <cell r="H6" t="str">
            <v>Account name</v>
          </cell>
        </row>
        <row r="7">
          <cell r="G7" t="str">
            <v>BẢNG CÂN ĐỐI KẾ TOÁN</v>
          </cell>
          <cell r="H7"/>
        </row>
        <row r="8">
          <cell r="G8"/>
          <cell r="H8"/>
        </row>
        <row r="9">
          <cell r="G9"/>
          <cell r="H9" t="str">
            <v>TÀI SẢN NGẮN HẠN</v>
          </cell>
        </row>
        <row r="10">
          <cell r="G10"/>
          <cell r="H10" t="str">
            <v>TIỀN MẶT</v>
          </cell>
        </row>
        <row r="11">
          <cell r="G11" t="str">
            <v>1111</v>
          </cell>
          <cell r="H11" t="str">
            <v>Tiền Việt Nam</v>
          </cell>
        </row>
        <row r="12">
          <cell r="G12" t="str">
            <v>1121</v>
          </cell>
          <cell r="H12" t="str">
            <v>Tiền gửi tại ngân hàng</v>
          </cell>
        </row>
        <row r="13">
          <cell r="G13" t="str">
            <v>1122</v>
          </cell>
          <cell r="H13" t="str">
            <v>Tiền Ngoại tệ</v>
          </cell>
        </row>
        <row r="14">
          <cell r="G14" t="str">
            <v>11311</v>
          </cell>
          <cell r="H14" t="str">
            <v>Tiền đang chuyển: Từ chuyển tiền nội bộ</v>
          </cell>
        </row>
        <row r="15">
          <cell r="G15" t="str">
            <v>11312</v>
          </cell>
          <cell r="H15" t="str">
            <v>Tiền đang chuyển: Người dùng nạp tiền đã khớp nhưng ngân hàng chưa ghi có tài khoản</v>
          </cell>
        </row>
        <row r="16">
          <cell r="G16"/>
          <cell r="H16"/>
        </row>
        <row r="17">
          <cell r="G17"/>
          <cell r="H17" t="str">
            <v>CÁC KHOẢN TƯƠNG ĐƯƠNG TIỀN</v>
          </cell>
        </row>
        <row r="18">
          <cell r="G18" t="str">
            <v>1123</v>
          </cell>
          <cell r="H18" t="str">
            <v>Các khoản tương đương tiền</v>
          </cell>
        </row>
        <row r="19">
          <cell r="G19"/>
          <cell r="H19"/>
        </row>
        <row r="20">
          <cell r="G20"/>
          <cell r="H20" t="str">
            <v>ĐẦU TƯ TÀI SẢN TÀI CHÍNH NGẮN HẠN</v>
          </cell>
        </row>
        <row r="21">
          <cell r="G21"/>
          <cell r="H21" t="str">
            <v>CHỨNG KHOÁN KINH DOANH</v>
          </cell>
        </row>
        <row r="22">
          <cell r="G22" t="str">
            <v>1211</v>
          </cell>
          <cell r="H22" t="str">
            <v>Cổ phiếu</v>
          </cell>
        </row>
        <row r="23">
          <cell r="G23" t="str">
            <v>1212</v>
          </cell>
          <cell r="H23" t="str">
            <v>Trái phiếu</v>
          </cell>
        </row>
        <row r="24">
          <cell r="G24" t="str">
            <v>1218</v>
          </cell>
          <cell r="H24" t="str">
            <v>Chứng chỉ quỹ + Chứng khoán kinh doanh khác</v>
          </cell>
        </row>
        <row r="25">
          <cell r="G25" t="str">
            <v>2291</v>
          </cell>
          <cell r="H25" t="str">
            <v>Dự phòng tổn thất chứng khoán kinh doanh</v>
          </cell>
        </row>
        <row r="26">
          <cell r="G26" t="str">
            <v>1211.02</v>
          </cell>
          <cell r="H26" t="str">
            <v>Đánh giá lại cổ phiếu (của VNSC revert nếu có số dư)</v>
          </cell>
        </row>
        <row r="27">
          <cell r="G27" t="str">
            <v>1212.02</v>
          </cell>
          <cell r="H27" t="str">
            <v>Đánh giá lại trái phiếu (của VNSC revert nếu có số dư)</v>
          </cell>
        </row>
        <row r="28">
          <cell r="G28" t="str">
            <v>1218.02</v>
          </cell>
          <cell r="H28" t="str">
            <v>Đánh giá lại chứng khoán kinh doanh khác (của VNSC revert nếu có số dư)</v>
          </cell>
        </row>
        <row r="29">
          <cell r="G29"/>
          <cell r="H29"/>
        </row>
        <row r="30">
          <cell r="G30"/>
          <cell r="H30" t="str">
            <v>ĐẦU TƯ NẮM GIỮ ĐẾN NGÀY ĐÁO HẠN</v>
          </cell>
        </row>
        <row r="31">
          <cell r="G31" t="str">
            <v>1281.01</v>
          </cell>
          <cell r="H31" t="str">
            <v>Tiền gửi có kỳ hạn &lt; 3 tháng (Finhay)</v>
          </cell>
        </row>
        <row r="32">
          <cell r="G32" t="str">
            <v>1281.02</v>
          </cell>
          <cell r="H32" t="str">
            <v>Tiền gửi có kỳ hạn &gt; 3 tháng (Users)</v>
          </cell>
        </row>
        <row r="33">
          <cell r="G33" t="str">
            <v>1281.03</v>
          </cell>
          <cell r="H33" t="str">
            <v>Tiền gửi có kỳ hạn &gt; 3 tháng (Finhay)</v>
          </cell>
        </row>
        <row r="34">
          <cell r="G34" t="str">
            <v>1281.04</v>
          </cell>
          <cell r="H34" t="str">
            <v>Tiền gửi có kỳ hạn &lt; 3 tháng (Users)</v>
          </cell>
        </row>
        <row r="35">
          <cell r="G35" t="str">
            <v>1283</v>
          </cell>
          <cell r="H35" t="str">
            <v>Cho vay</v>
          </cell>
        </row>
        <row r="36">
          <cell r="G36"/>
          <cell r="H36"/>
        </row>
        <row r="37">
          <cell r="G37"/>
          <cell r="H37" t="str">
            <v>CÁC KHOẢN PHẢI THU NGẮN HẠN</v>
          </cell>
        </row>
        <row r="38">
          <cell r="G38" t="str">
            <v>131</v>
          </cell>
          <cell r="H38" t="str">
            <v>Phải thu của khách hàng</v>
          </cell>
        </row>
        <row r="39">
          <cell r="G39" t="str">
            <v>131.01</v>
          </cell>
          <cell r="H39" t="str">
            <v>Phải thu của khách hàng</v>
          </cell>
        </row>
        <row r="40">
          <cell r="G40"/>
          <cell r="H40"/>
        </row>
        <row r="41">
          <cell r="G41"/>
          <cell r="H41" t="str">
            <v>TRẢ TRƯỚC CHO NGƯỜI BÁN NGẮN HẠN</v>
          </cell>
        </row>
        <row r="42">
          <cell r="G42" t="str">
            <v>331N</v>
          </cell>
          <cell r="H42" t="str">
            <v>Trả trước cho người bán</v>
          </cell>
        </row>
        <row r="43">
          <cell r="G43" t="str">
            <v>331.02</v>
          </cell>
          <cell r="H43" t="str">
            <v>Trả trước cho người bán</v>
          </cell>
        </row>
        <row r="44">
          <cell r="G44"/>
          <cell r="H44"/>
        </row>
        <row r="45">
          <cell r="G45"/>
          <cell r="H45" t="str">
            <v>PHẢI THU NGẮN HẠN KHÁC</v>
          </cell>
        </row>
        <row r="46">
          <cell r="G46" t="str">
            <v>1321</v>
          </cell>
          <cell r="H46" t="str">
            <v>Lãi dự thu margin và UTTB của VNSC (có cả lãi CCTG, Trái phiếu nếu chưa vert)</v>
          </cell>
        </row>
        <row r="47">
          <cell r="G47" t="str">
            <v>1388.Quy</v>
          </cell>
          <cell r="H47" t="str">
            <v>Phải thu khác</v>
          </cell>
        </row>
        <row r="48">
          <cell r="G48" t="str">
            <v>1388.NAV</v>
          </cell>
          <cell r="H48" t="str">
            <v>Chênh lệch NAV CCQ</v>
          </cell>
        </row>
        <row r="49">
          <cell r="G49" t="str">
            <v>1388.CK</v>
          </cell>
          <cell r="H49" t="str">
            <v>Phải thu khác: Phải thu từ các công cụ tài chính (Chứng khoán)</v>
          </cell>
        </row>
        <row r="50">
          <cell r="G50" t="str">
            <v>1388.User</v>
          </cell>
          <cell r="H50" t="str">
            <v>Phải thu của user (Chứng khoán)</v>
          </cell>
        </row>
        <row r="51">
          <cell r="G51" t="str">
            <v>1388.Bank</v>
          </cell>
          <cell r="H51" t="str">
            <v>Phải thu lãi từ HD tiền gửi</v>
          </cell>
        </row>
        <row r="52">
          <cell r="G52" t="str">
            <v>1388.CT</v>
          </cell>
          <cell r="H52" t="str">
            <v>Phải thu cổ tức bằng tiền</v>
          </cell>
        </row>
        <row r="53">
          <cell r="G53" t="str">
            <v>1388.Khac</v>
          </cell>
          <cell r="H53" t="str">
            <v>Phải thu khác</v>
          </cell>
        </row>
        <row r="54">
          <cell r="G54" t="str">
            <v>1388.Other</v>
          </cell>
          <cell r="H54" t="str">
            <v>Phải thu khác</v>
          </cell>
        </row>
        <row r="55">
          <cell r="G55" t="str">
            <v>1388.Vi</v>
          </cell>
          <cell r="H55" t="str">
            <v>Phải thu khác</v>
          </cell>
        </row>
        <row r="56">
          <cell r="G56" t="str">
            <v>1388.Pool</v>
          </cell>
          <cell r="H56" t="str">
            <v>Phải thu khác: Liquidity Pool (chưa thu/trả)</v>
          </cell>
        </row>
        <row r="57">
          <cell r="G57" t="str">
            <v>1388.Gold</v>
          </cell>
          <cell r="H57" t="str">
            <v>Phải thu khác - Sản phẩm vàng</v>
          </cell>
        </row>
        <row r="58">
          <cell r="G58" t="str">
            <v>1388.NghiepvuCK</v>
          </cell>
          <cell r="H58" t="str">
            <v>Phải thu hoạt động nghiệp vụ chứng khoán</v>
          </cell>
        </row>
        <row r="59">
          <cell r="G59" t="str">
            <v>141</v>
          </cell>
          <cell r="H59" t="str">
            <v>Tạm ứng</v>
          </cell>
        </row>
        <row r="60">
          <cell r="G60" t="str">
            <v>244</v>
          </cell>
          <cell r="H60" t="str">
            <v>Cầm cố, thế chấp, ký quỹ, ký cược ngắn hạn</v>
          </cell>
        </row>
        <row r="61">
          <cell r="G61" t="str">
            <v>1398</v>
          </cell>
          <cell r="H61" t="str">
            <v>Dự phòng suy giảm giá trị phải thu khác</v>
          </cell>
        </row>
        <row r="62">
          <cell r="G62"/>
          <cell r="H62"/>
        </row>
        <row r="63">
          <cell r="G63"/>
          <cell r="H63" t="str">
            <v>HÀNG TỒN KHO</v>
          </cell>
        </row>
        <row r="64">
          <cell r="G64" t="str">
            <v>1531</v>
          </cell>
          <cell r="H64" t="str">
            <v>Công cụ, dụng cụ</v>
          </cell>
        </row>
        <row r="65">
          <cell r="G65" t="str">
            <v>1562</v>
          </cell>
          <cell r="H65" t="str">
            <v>(IFRS) Hàng hóa khác</v>
          </cell>
        </row>
        <row r="66">
          <cell r="G66" t="str">
            <v>1561</v>
          </cell>
          <cell r="H66" t="str">
            <v>Giá mua hàng hóa</v>
          </cell>
        </row>
        <row r="67">
          <cell r="G67"/>
          <cell r="H67"/>
        </row>
        <row r="68">
          <cell r="G68"/>
          <cell r="H68" t="str">
            <v>TÀI SẢN NGẮN HẠN KHÁC</v>
          </cell>
        </row>
        <row r="69">
          <cell r="G69" t="str">
            <v>2421</v>
          </cell>
          <cell r="H69" t="str">
            <v>Công cụ dụng cụ ngắn hạn</v>
          </cell>
        </row>
        <row r="70">
          <cell r="G70" t="str">
            <v>2422.01</v>
          </cell>
          <cell r="H70" t="str">
            <v>Chi phí trả trước - ngắn hạn</v>
          </cell>
        </row>
        <row r="71">
          <cell r="G71" t="str">
            <v>1331</v>
          </cell>
          <cell r="H71" t="str">
            <v>Thuế GTGT được khấu trừ của hàng hóa, dịch vụ</v>
          </cell>
        </row>
        <row r="72">
          <cell r="G72" t="str">
            <v>1332</v>
          </cell>
          <cell r="H72" t="str">
            <v>Thuế GTGT được khấu trừ của TSCĐ</v>
          </cell>
        </row>
        <row r="73">
          <cell r="G73"/>
          <cell r="H73"/>
        </row>
        <row r="74">
          <cell r="G74"/>
          <cell r="H74" t="str">
            <v>TÀI SẢN DÀI HẠN</v>
          </cell>
        </row>
        <row r="75">
          <cell r="G75"/>
          <cell r="H75"/>
        </row>
        <row r="76">
          <cell r="G76"/>
          <cell r="H76" t="str">
            <v>TÀI SẢN CỐ ĐỊNH HỮU HÌNH</v>
          </cell>
        </row>
        <row r="77">
          <cell r="G77" t="str">
            <v>ROU</v>
          </cell>
          <cell r="H77" t="str">
            <v>(IFRS) Right of use</v>
          </cell>
        </row>
        <row r="78">
          <cell r="G78" t="str">
            <v>2112</v>
          </cell>
          <cell r="H78" t="str">
            <v>Máy móc, thiết bị</v>
          </cell>
        </row>
        <row r="79">
          <cell r="G79" t="str">
            <v>2113</v>
          </cell>
          <cell r="H79" t="str">
            <v>Phương tiện vận tải, truyền dẫn</v>
          </cell>
        </row>
        <row r="80">
          <cell r="G80" t="str">
            <v>2114</v>
          </cell>
          <cell r="H80" t="str">
            <v>Thiết bị, dụng cụ quản lý</v>
          </cell>
        </row>
        <row r="81">
          <cell r="G81" t="str">
            <v>2141</v>
          </cell>
          <cell r="H81" t="str">
            <v>Hao mòn TSCĐ hữu hình</v>
          </cell>
        </row>
        <row r="82">
          <cell r="G82"/>
          <cell r="H82"/>
        </row>
        <row r="83">
          <cell r="G83"/>
          <cell r="H83" t="str">
            <v>TÀI SẢN CỐ ĐỊNH VÔ HÌNH</v>
          </cell>
        </row>
        <row r="84">
          <cell r="G84" t="str">
            <v>2135</v>
          </cell>
          <cell r="H84" t="str">
            <v>Chương trình phần mềm</v>
          </cell>
        </row>
        <row r="85">
          <cell r="G85" t="str">
            <v>2133</v>
          </cell>
          <cell r="H85" t="str">
            <v>Bản quyền phần mềm, bằng sáng chế</v>
          </cell>
        </row>
        <row r="86">
          <cell r="G86" t="str">
            <v>2143</v>
          </cell>
          <cell r="H86" t="str">
            <v>Hao mòn TSCĐ vô hình</v>
          </cell>
        </row>
        <row r="87">
          <cell r="G87"/>
          <cell r="H87"/>
        </row>
        <row r="88">
          <cell r="G88"/>
          <cell r="H88" t="str">
            <v>CHI PHÍ XÂY DỰNG CƠ BẢN DỞ DANG</v>
          </cell>
        </row>
        <row r="89">
          <cell r="G89" t="str">
            <v>2411</v>
          </cell>
          <cell r="H89" t="str">
            <v>Mua sắm TSCĐ</v>
          </cell>
        </row>
        <row r="90">
          <cell r="G90" t="str">
            <v>2412</v>
          </cell>
          <cell r="H90" t="str">
            <v>Xây dựng cơ bản</v>
          </cell>
        </row>
        <row r="91">
          <cell r="G91" t="str">
            <v>2413</v>
          </cell>
          <cell r="H91" t="str">
            <v>Sửa chữa lớn TSCĐ</v>
          </cell>
        </row>
        <row r="92">
          <cell r="G92"/>
          <cell r="H92"/>
        </row>
        <row r="93">
          <cell r="G93"/>
          <cell r="H93" t="str">
            <v>ĐẦU TƯ TÀI CHÍNH DÀI HẠN</v>
          </cell>
        </row>
        <row r="94">
          <cell r="G94" t="str">
            <v>221</v>
          </cell>
          <cell r="H94" t="str">
            <v>Đầu tư vào công ty con</v>
          </cell>
        </row>
        <row r="95">
          <cell r="G95" t="str">
            <v>2288</v>
          </cell>
          <cell r="H95" t="str">
            <v>Đầu tư khác</v>
          </cell>
        </row>
        <row r="96">
          <cell r="G96" t="str">
            <v>2292</v>
          </cell>
          <cell r="H96" t="str">
            <v>Dự phòng tổn thất đầu tư vào đơn vị khác</v>
          </cell>
        </row>
        <row r="97">
          <cell r="G97"/>
          <cell r="H97"/>
        </row>
        <row r="98">
          <cell r="G98"/>
          <cell r="H98" t="str">
            <v>TÀI SẢN DÀI HẠN KHÁC</v>
          </cell>
        </row>
        <row r="99">
          <cell r="G99" t="str">
            <v>2421.02</v>
          </cell>
          <cell r="H99" t="str">
            <v>Công cụ dụng cụ dài hạn</v>
          </cell>
        </row>
        <row r="100">
          <cell r="G100" t="str">
            <v>2423</v>
          </cell>
          <cell r="H100" t="str">
            <v>Chi phí trả trước dài hạn chờ phân bổ</v>
          </cell>
        </row>
        <row r="101">
          <cell r="G101" t="str">
            <v>2422</v>
          </cell>
          <cell r="H101" t="str">
            <v>(IFRS) Chi phí trả trước (Account net)</v>
          </cell>
        </row>
        <row r="102">
          <cell r="G102" t="str">
            <v>2422.02</v>
          </cell>
          <cell r="H102" t="str">
            <v>Chi phí trả trước - dài hạn</v>
          </cell>
        </row>
        <row r="103">
          <cell r="G103" t="str">
            <v>GW</v>
          </cell>
          <cell r="H103" t="str">
            <v>Lợi thế thương mại</v>
          </cell>
        </row>
        <row r="104">
          <cell r="G104" t="str">
            <v>2442</v>
          </cell>
          <cell r="H104" t="str">
            <v>Cầm cố, thế chấp, ký quỹ, ký cược dài hạn</v>
          </cell>
        </row>
        <row r="105">
          <cell r="G105"/>
          <cell r="H105"/>
        </row>
        <row r="106">
          <cell r="G106" t="str">
            <v>DTA</v>
          </cell>
          <cell r="H106" t="str">
            <v>(IFRS) Tài sản thuế TNDN hoãn lại</v>
          </cell>
        </row>
        <row r="107">
          <cell r="G107"/>
          <cell r="H107"/>
        </row>
        <row r="108">
          <cell r="G108"/>
          <cell r="H108" t="str">
            <v>TỔNG TÀI SẢN</v>
          </cell>
        </row>
        <row r="109">
          <cell r="G109"/>
          <cell r="H109"/>
        </row>
        <row r="110">
          <cell r="G110"/>
          <cell r="H110" t="str">
            <v>NỢ PHẢI TRẢ</v>
          </cell>
        </row>
        <row r="111">
          <cell r="G111"/>
          <cell r="H111"/>
        </row>
        <row r="112">
          <cell r="G112" t="str">
            <v>LL</v>
          </cell>
          <cell r="H112" t="str">
            <v>(IFRS) Lease liability</v>
          </cell>
        </row>
        <row r="113">
          <cell r="G113"/>
          <cell r="H113"/>
        </row>
        <row r="114">
          <cell r="G114"/>
          <cell r="H114" t="str">
            <v>NỢ NGẮN HẠN</v>
          </cell>
        </row>
        <row r="115">
          <cell r="G115" t="str">
            <v>331.01</v>
          </cell>
          <cell r="H115" t="str">
            <v>Phải trả cho người bán</v>
          </cell>
        </row>
        <row r="116">
          <cell r="G116"/>
          <cell r="H116"/>
        </row>
        <row r="117">
          <cell r="G117"/>
          <cell r="H117" t="str">
            <v>THUẾ VÀ CÁC KHOẢN PHẢI NỘP NHÀ NƯỚC</v>
          </cell>
        </row>
        <row r="118">
          <cell r="G118" t="str">
            <v>33311</v>
          </cell>
          <cell r="H118" t="str">
            <v>Thuế GTGT đầu ra</v>
          </cell>
        </row>
        <row r="119">
          <cell r="G119" t="str">
            <v>33382</v>
          </cell>
          <cell r="H119" t="str">
            <v>Các loại thuế khác</v>
          </cell>
        </row>
        <row r="120">
          <cell r="G120" t="str">
            <v>3339</v>
          </cell>
          <cell r="H120" t="str">
            <v>Phí, lệ phí và các khoản phải nộp khác</v>
          </cell>
        </row>
        <row r="121">
          <cell r="G121" t="str">
            <v>3335.NLD</v>
          </cell>
          <cell r="H121" t="str">
            <v>Thuế thu nhập cá nhân lao động TNHH Finhay Việt Nam</v>
          </cell>
        </row>
        <row r="122">
          <cell r="G122" t="str">
            <v>3335.FH</v>
          </cell>
          <cell r="H122" t="str">
            <v>Thuế thu nhập cá nhân lao động Finhay</v>
          </cell>
        </row>
        <row r="123">
          <cell r="G123" t="str">
            <v>3335.LV</v>
          </cell>
          <cell r="H123" t="str">
            <v>Thuế thu nhập cá nhân từ lãi vay</v>
          </cell>
        </row>
        <row r="124">
          <cell r="G124" t="str">
            <v>3335.TN</v>
          </cell>
          <cell r="H124" t="str">
            <v>Thuế thu nhập cá nhân dịch vụ thuê ngoài</v>
          </cell>
        </row>
        <row r="125">
          <cell r="G125" t="str">
            <v>3335.User</v>
          </cell>
          <cell r="H125" t="str">
            <v>Thuế thu nhập cá nhân của người dùng</v>
          </cell>
        </row>
        <row r="126">
          <cell r="G126" t="str">
            <v>3335-NLD</v>
          </cell>
          <cell r="H126" t="str">
            <v>Thuế thu nhập cá nhân của người lao động</v>
          </cell>
        </row>
        <row r="127">
          <cell r="G127"/>
          <cell r="H127"/>
        </row>
        <row r="128">
          <cell r="G128"/>
          <cell r="H128" t="str">
            <v>PHẢI TRẢ NGƯỜI LAO ĐỘNG</v>
          </cell>
        </row>
        <row r="129">
          <cell r="G129" t="str">
            <v>3341</v>
          </cell>
          <cell r="H129" t="str">
            <v>Phải trả công nhân viên</v>
          </cell>
        </row>
        <row r="130">
          <cell r="G130"/>
          <cell r="H130"/>
        </row>
        <row r="131">
          <cell r="G131"/>
          <cell r="H131" t="str">
            <v>CHI PHÍ PHẢI TRẢ NGẮN HẠN</v>
          </cell>
        </row>
        <row r="132">
          <cell r="G132" t="str">
            <v>335</v>
          </cell>
          <cell r="H132" t="str">
            <v>Chi phí phải trả</v>
          </cell>
        </row>
        <row r="133">
          <cell r="G133"/>
          <cell r="H133"/>
        </row>
        <row r="134">
          <cell r="G134"/>
          <cell r="H134" t="str">
            <v>DOANH THU CHƯA THỰC HIỆN NGẮN HẠN</v>
          </cell>
        </row>
        <row r="135">
          <cell r="G135" t="str">
            <v>3387</v>
          </cell>
          <cell r="H135" t="str">
            <v>Doanh thu chưa thực hiện ngắn hạn</v>
          </cell>
        </row>
        <row r="136">
          <cell r="G136"/>
          <cell r="H136"/>
        </row>
        <row r="137">
          <cell r="G137"/>
          <cell r="H137" t="str">
            <v>PHẢI TRẢ NGẮN HẠN KHÁC</v>
          </cell>
        </row>
        <row r="138">
          <cell r="G138" t="str">
            <v>3388.Cash</v>
          </cell>
          <cell r="H138" t="str">
            <v>Tài khoản tiền của user (Chứng khoán)</v>
          </cell>
        </row>
        <row r="139">
          <cell r="G139" t="str">
            <v>3388.CCQ</v>
          </cell>
          <cell r="H139" t="str">
            <v>Phải trả người dùng: Chứng chỉ quỹ</v>
          </cell>
        </row>
        <row r="140">
          <cell r="G140" t="str">
            <v>3388.CK</v>
          </cell>
          <cell r="H140" t="str">
            <v>Phải trả người dùng: Chứng khoán</v>
          </cell>
        </row>
        <row r="141">
          <cell r="G141" t="str">
            <v>3388.CT</v>
          </cell>
          <cell r="H141" t="str">
            <v>Phải trả người dùng: Cổ tức bằng tiền</v>
          </cell>
        </row>
        <row r="142">
          <cell r="G142" t="str">
            <v>3388.Gold</v>
          </cell>
          <cell r="H142" t="str">
            <v>Phải trả, phải nộp khác - Vàng</v>
          </cell>
        </row>
        <row r="143">
          <cell r="G143" t="str">
            <v>3388.Khac</v>
          </cell>
          <cell r="H143" t="str">
            <v>Phải trả, phải nộp khác: Khác</v>
          </cell>
        </row>
        <row r="144">
          <cell r="G144" t="str">
            <v>3388.Lai CCTG</v>
          </cell>
          <cell r="H144" t="str">
            <v>Phải trả người dùng: Lãi tích lũy phải trả người dùng</v>
          </cell>
        </row>
        <row r="145">
          <cell r="G145" t="str">
            <v>3388.Quy</v>
          </cell>
          <cell r="H145" t="str">
            <v>Phải trả, phải nộp quỹ</v>
          </cell>
        </row>
        <row r="146">
          <cell r="G146" t="str">
            <v>3388.TD3</v>
          </cell>
          <cell r="H146" t="str">
            <v>Phải trả người dùng: Sản phẩm tích lũy có kỳ hạn</v>
          </cell>
        </row>
        <row r="147">
          <cell r="G147" t="str">
            <v>3388.Pool</v>
          </cell>
          <cell r="H147" t="str">
            <v>Phải trả, phải nộp - Vàng (Liquidity Pool)</v>
          </cell>
        </row>
        <row r="148">
          <cell r="G148" t="str">
            <v>3388.SS</v>
          </cell>
          <cell r="H148" t="str">
            <v>Phải trả người dùng: Super Saving</v>
          </cell>
        </row>
        <row r="149">
          <cell r="G149" t="str">
            <v>3388.TD</v>
          </cell>
          <cell r="H149" t="str">
            <v>Phải trả người dùng: Sản phẩm tích lũy có kỳ hạn</v>
          </cell>
        </row>
        <row r="150">
          <cell r="G150" t="str">
            <v>3388.Bank</v>
          </cell>
          <cell r="H150" t="str">
            <v>Phải trả, phải nộp ngân hàng</v>
          </cell>
        </row>
        <row r="151">
          <cell r="G151" t="str">
            <v>3388.BH</v>
          </cell>
          <cell r="H151" t="str">
            <v>Phải trả, phải nộp khác - Bảo hiểm</v>
          </cell>
        </row>
        <row r="152">
          <cell r="G152" t="str">
            <v>3388.CCTG</v>
          </cell>
          <cell r="H152" t="str">
            <v>Phải trả người dùng-Chứng chỉ tiền gửi</v>
          </cell>
        </row>
        <row r="153">
          <cell r="G153" t="str">
            <v>3388.CL9</v>
          </cell>
          <cell r="H153" t="str">
            <v>Phải trả người dùng-CỬU LONG 9</v>
          </cell>
        </row>
        <row r="154">
          <cell r="G154" t="str">
            <v>3388.Nsav</v>
          </cell>
          <cell r="H154" t="str">
            <v>Phải trả người dùng: New Saving (Non-term)</v>
          </cell>
        </row>
        <row r="155">
          <cell r="G155" t="str">
            <v>3388.Saving</v>
          </cell>
          <cell r="H155" t="str">
            <v>Phải trả người dùng: New Saving (Term)</v>
          </cell>
        </row>
        <row r="156">
          <cell r="G156" t="str">
            <v>3388.Pending</v>
          </cell>
          <cell r="H156" t="str">
            <v>Phải trả người dùng-Tiền nạp chưa khớp</v>
          </cell>
        </row>
        <row r="157">
          <cell r="G157" t="str">
            <v>3388-Gốc-Lãi lỗ</v>
          </cell>
          <cell r="H157" t="str">
            <v>Phải trả người dùng-Chứng chỉ quỹ</v>
          </cell>
        </row>
        <row r="158">
          <cell r="G158" t="str">
            <v>3388-Khác</v>
          </cell>
          <cell r="H158" t="str">
            <v>Phải trả, phải nộp khác</v>
          </cell>
        </row>
        <row r="159">
          <cell r="G159" t="str">
            <v>3388.Other</v>
          </cell>
          <cell r="H159" t="str">
            <v>Phải trả, phải nộp khác</v>
          </cell>
        </row>
        <row r="160">
          <cell r="G160" t="str">
            <v>3388.NAV</v>
          </cell>
          <cell r="H160" t="str">
            <v>Phải trả, phải nộp khác - 1388.NAV dư có</v>
          </cell>
        </row>
        <row r="161">
          <cell r="G161" t="str">
            <v>3388.FHB</v>
          </cell>
          <cell r="H161" t="str">
            <v>Phải trả người dùng: Túi Finhay</v>
          </cell>
        </row>
        <row r="162">
          <cell r="G162" t="str">
            <v>3388.TLKH</v>
          </cell>
          <cell r="H162" t="str">
            <v>Phải trả người dùng: Sản phẩm tích lũy có kỳ hạn mới</v>
          </cell>
        </row>
        <row r="163">
          <cell r="G163" t="str">
            <v>3388.NghiepvuCK</v>
          </cell>
          <cell r="H163" t="str">
            <v>Phải trả hoạt động nghiệp vụ chứng khoán</v>
          </cell>
        </row>
        <row r="164">
          <cell r="G164" t="str">
            <v>3382</v>
          </cell>
          <cell r="H164" t="str">
            <v>Kinh phí công đoàn</v>
          </cell>
        </row>
        <row r="165">
          <cell r="G165" t="str">
            <v>3383</v>
          </cell>
          <cell r="H165" t="str">
            <v>Bảo hiểm xã hội</v>
          </cell>
        </row>
        <row r="166">
          <cell r="G166" t="str">
            <v>3384</v>
          </cell>
          <cell r="H166" t="str">
            <v>Bảo hiểm y tế</v>
          </cell>
        </row>
        <row r="167">
          <cell r="G167" t="str">
            <v>3386</v>
          </cell>
          <cell r="H167" t="str">
            <v>Bảo hiểm thất nghiệp</v>
          </cell>
        </row>
        <row r="168">
          <cell r="G168"/>
          <cell r="H168"/>
        </row>
        <row r="169">
          <cell r="G169"/>
          <cell r="H169" t="str">
            <v>(IFRS) PHẢI TRẢ THUẾ TNDN HOÃN LẠI</v>
          </cell>
        </row>
        <row r="170">
          <cell r="G170" t="str">
            <v>DTL</v>
          </cell>
          <cell r="H170" t="str">
            <v>(IFRS) Phải trả thuế TNDN hoãn lại</v>
          </cell>
        </row>
        <row r="171">
          <cell r="G171"/>
          <cell r="H171"/>
        </row>
        <row r="172">
          <cell r="G172"/>
          <cell r="H172" t="str">
            <v>NỢ PHẢI TRẢ DÀI HẠN</v>
          </cell>
        </row>
        <row r="173">
          <cell r="G173"/>
          <cell r="H173" t="str">
            <v>DOANH THU CHƯA THỰC HIỆN DÀI HẠN</v>
          </cell>
        </row>
        <row r="174">
          <cell r="G174" t="str">
            <v>3387.02</v>
          </cell>
          <cell r="H174" t="str">
            <v>Doanh thu chưa thực hiện dài hạn</v>
          </cell>
        </row>
        <row r="175">
          <cell r="G175"/>
          <cell r="H175"/>
        </row>
        <row r="176">
          <cell r="G176"/>
          <cell r="H176" t="str">
            <v>VAY NGẮN HẠN</v>
          </cell>
        </row>
        <row r="177">
          <cell r="G177" t="str">
            <v>3411</v>
          </cell>
          <cell r="H177" t="str">
            <v>Các khoản đi vay</v>
          </cell>
        </row>
        <row r="178">
          <cell r="G178"/>
          <cell r="H178"/>
        </row>
        <row r="179">
          <cell r="G179"/>
          <cell r="H179" t="str">
            <v>VỐN CHỦ SỞ HỮU</v>
          </cell>
        </row>
        <row r="180">
          <cell r="G180" t="str">
            <v>41111</v>
          </cell>
          <cell r="H180" t="str">
            <v>Cổ phiếu phổ thông có quyền biểu quyết</v>
          </cell>
        </row>
        <row r="181">
          <cell r="G181" t="str">
            <v>41112</v>
          </cell>
          <cell r="H181" t="str">
            <v>Cổ phiếu ưu đãi</v>
          </cell>
        </row>
        <row r="182">
          <cell r="G182" t="str">
            <v>4112</v>
          </cell>
          <cell r="H182" t="str">
            <v>Thặng dư vốn cổ phần</v>
          </cell>
        </row>
        <row r="183">
          <cell r="G183" t="str">
            <v>4151</v>
          </cell>
          <cell r="H183" t="str">
            <v>Dự trữ pháp định</v>
          </cell>
        </row>
        <row r="184">
          <cell r="G184" t="str">
            <v>418</v>
          </cell>
          <cell r="H184" t="str">
            <v>Quỹ khác thuộc vốn chủ sở hữu</v>
          </cell>
        </row>
        <row r="185">
          <cell r="G185" t="str">
            <v>RR</v>
          </cell>
          <cell r="H185" t="str">
            <v>(IFRS) Revaluation reserve</v>
          </cell>
        </row>
        <row r="186">
          <cell r="G186" t="str">
            <v>4211</v>
          </cell>
          <cell r="H186" t="str">
            <v>Lợi nhuận sau thuế chưa phân phối năm trước</v>
          </cell>
        </row>
        <row r="187">
          <cell r="G187" t="str">
            <v>4212</v>
          </cell>
          <cell r="H187" t="str">
            <v>Lợi nhuận sau thuế chưa phân phối năm nay</v>
          </cell>
        </row>
        <row r="188">
          <cell r="G188" t="str">
            <v>NCI-BS</v>
          </cell>
          <cell r="H188" t="str">
            <v>Lợi ích cổ đông không kiểm soát-BS</v>
          </cell>
        </row>
        <row r="189">
          <cell r="G189"/>
          <cell r="H189"/>
        </row>
        <row r="190">
          <cell r="G190"/>
          <cell r="H190" t="str">
            <v>TỔNG NỢ PHẢI TRẢ VÀ VỐN CHỦ SỞ HỮU</v>
          </cell>
        </row>
        <row r="191">
          <cell r="G191"/>
          <cell r="H191"/>
        </row>
        <row r="192">
          <cell r="G192"/>
          <cell r="H192" t="str">
            <v>CHECK</v>
          </cell>
        </row>
        <row r="193">
          <cell r="G193"/>
          <cell r="H193"/>
        </row>
        <row r="194">
          <cell r="G194"/>
          <cell r="H194" t="str">
            <v>BÁO CÁO KẾT QUẢ HOẠT ĐỘNG KINH DOANH</v>
          </cell>
        </row>
        <row r="195">
          <cell r="G195"/>
          <cell r="H195"/>
        </row>
        <row r="196">
          <cell r="G196"/>
          <cell r="H196" t="str">
            <v>DOANH THU BÁN HÀNG VÀ CUNG CẤP DỊCH VỤ</v>
          </cell>
        </row>
        <row r="197">
          <cell r="G197" t="str">
            <v>5111</v>
          </cell>
          <cell r="H197" t="str">
            <v>Doanh thu bán vàng (CTC)</v>
          </cell>
        </row>
        <row r="198">
          <cell r="G198" t="str">
            <v>5113</v>
          </cell>
          <cell r="H198" t="str">
            <v>Doanh thu cung cấp dịch vụ</v>
          </cell>
        </row>
        <row r="199">
          <cell r="G199" t="str">
            <v>5113.01</v>
          </cell>
          <cell r="H199" t="str">
            <v>Doanh thu từ HĐ người dùng rút tiền đầu tư</v>
          </cell>
        </row>
        <row r="200">
          <cell r="G200" t="str">
            <v>5113.02</v>
          </cell>
          <cell r="H200" t="str">
            <v>Doanh thu từ HĐ người dùng rút tiền nhanh - Đầu tư</v>
          </cell>
        </row>
        <row r="201">
          <cell r="G201" t="str">
            <v>5113.03</v>
          </cell>
          <cell r="H201" t="str">
            <v>Doanh thu từ HĐ người dùng rút tiền nhanh - Tích lũy</v>
          </cell>
        </row>
        <row r="202">
          <cell r="G202" t="str">
            <v>5113.04</v>
          </cell>
          <cell r="H202" t="str">
            <v>Doanh thu từ giao dịch thu hộ bảo hiểm</v>
          </cell>
        </row>
        <row r="203">
          <cell r="G203" t="str">
            <v>5113.05</v>
          </cell>
          <cell r="H203" t="str">
            <v>Doanh thu từ phí bảo trì tài khoản</v>
          </cell>
        </row>
        <row r="204">
          <cell r="G204" t="str">
            <v>5113.06</v>
          </cell>
          <cell r="H204" t="str">
            <v>Doanh thu từ HĐ người dùng nạp tiền qua ví điện tử</v>
          </cell>
        </row>
        <row r="205">
          <cell r="G205" t="str">
            <v>5113.07</v>
          </cell>
          <cell r="H205" t="str">
            <v>Doanh thu từ phí xác thực số dư tài khoản</v>
          </cell>
        </row>
        <row r="206">
          <cell r="G206" t="str">
            <v>5113.08</v>
          </cell>
          <cell r="H206" t="str">
            <v>Doanh thu từ hợp tác kinh doanh với đối tác</v>
          </cell>
        </row>
        <row r="207">
          <cell r="G207" t="str">
            <v>5113.09</v>
          </cell>
          <cell r="H207" t="str">
            <v>Doanh thu từ HĐ người dùng rút tiền nhanh - TD3</v>
          </cell>
        </row>
        <row r="208">
          <cell r="G208" t="str">
            <v>5113.10</v>
          </cell>
          <cell r="H208" t="str">
            <v>Doanh thu từ giao dịch mua, bán vàng</v>
          </cell>
        </row>
        <row r="209">
          <cell r="G209" t="str">
            <v>5113.11</v>
          </cell>
          <cell r="H209" t="str">
            <v>Doanh thu từ hợp tác kinh doanh với đối tác - GD bảo hiểm</v>
          </cell>
        </row>
        <row r="210">
          <cell r="G210" t="str">
            <v>5113.12</v>
          </cell>
          <cell r="H210" t="str">
            <v>Doanh thu từ hợp tác kinh doanh với đối tác - Phí phân phối CCQ</v>
          </cell>
        </row>
        <row r="211">
          <cell r="G211" t="str">
            <v>5113.13</v>
          </cell>
          <cell r="H211" t="str">
            <v>Doanh thu từ hợp tác kinh doanh với đối tác - CIMB</v>
          </cell>
        </row>
        <row r="212">
          <cell r="G212" t="str">
            <v>5113.14</v>
          </cell>
          <cell r="H212" t="str">
            <v>Doanh thu từ hợp tác kinh doanh với đối tác - Dịch vụ tài chính khác (cross-sell partner)</v>
          </cell>
        </row>
        <row r="213">
          <cell r="G213" t="str">
            <v>5113.15</v>
          </cell>
          <cell r="H213" t="str">
            <v>Doanh thu từ hợp tác kinh doanh với đối tác - Khác</v>
          </cell>
        </row>
        <row r="214">
          <cell r="G214" t="str">
            <v>5113.16</v>
          </cell>
          <cell r="H214" t="str">
            <v>Doanh thu từ HĐ người dùng giao dịch chứng khoán</v>
          </cell>
        </row>
        <row r="215">
          <cell r="G215" t="str">
            <v>5113.17</v>
          </cell>
          <cell r="H215" t="str">
            <v>Doanh thu cung cấp và sử dụng dịch vụ phần mềm</v>
          </cell>
        </row>
        <row r="216">
          <cell r="G216" t="str">
            <v>5118</v>
          </cell>
          <cell r="H216" t="str">
            <v>Doanh thu khác</v>
          </cell>
        </row>
        <row r="217">
          <cell r="G217" t="str">
            <v>5118.01</v>
          </cell>
          <cell r="H217" t="str">
            <v>Doanh thu môi giới chứng khoán</v>
          </cell>
        </row>
        <row r="218">
          <cell r="G218" t="str">
            <v>5118.02</v>
          </cell>
          <cell r="H218" t="str">
            <v>Doanh thu lưu ký chứng khoán</v>
          </cell>
        </row>
        <row r="219">
          <cell r="G219"/>
          <cell r="H219"/>
        </row>
        <row r="220">
          <cell r="G220"/>
          <cell r="H220" t="str">
            <v>GIÁ VỐN HÀNG BÁN</v>
          </cell>
        </row>
        <row r="221">
          <cell r="G221" t="str">
            <v>6273</v>
          </cell>
          <cell r="H221" t="str">
            <v>Chi phí dụng cụ sản xuất</v>
          </cell>
        </row>
        <row r="222">
          <cell r="G222" t="str">
            <v>6274</v>
          </cell>
          <cell r="H222" t="str">
            <v>Chi phí khấu hao TSCĐ</v>
          </cell>
        </row>
        <row r="223">
          <cell r="G223" t="str">
            <v>6277.01</v>
          </cell>
          <cell r="H223" t="str">
            <v>Phí mua bán CCQ</v>
          </cell>
        </row>
        <row r="224">
          <cell r="G224" t="str">
            <v>6277.02</v>
          </cell>
          <cell r="H224" t="str">
            <v>Phí chuyển nhượng CK</v>
          </cell>
        </row>
        <row r="225">
          <cell r="G225" t="str">
            <v>6277.03</v>
          </cell>
          <cell r="H225" t="str">
            <v>Phí lưu ký</v>
          </cell>
        </row>
        <row r="226">
          <cell r="G226" t="str">
            <v>6277.04</v>
          </cell>
          <cell r="H226" t="str">
            <v>Phí xác thực số dư</v>
          </cell>
        </row>
        <row r="227">
          <cell r="G227" t="str">
            <v>6277.05</v>
          </cell>
          <cell r="H227" t="str">
            <v>Phí tên miền</v>
          </cell>
        </row>
        <row r="228">
          <cell r="G228" t="str">
            <v>6277.06</v>
          </cell>
          <cell r="H228" t="str">
            <v>Phí ứng dụng thiết kế</v>
          </cell>
        </row>
        <row r="229">
          <cell r="G229" t="str">
            <v>6277.07</v>
          </cell>
          <cell r="H229" t="str">
            <v>Phí dữ liệu</v>
          </cell>
        </row>
        <row r="230">
          <cell r="G230" t="str">
            <v>6277.09</v>
          </cell>
          <cell r="H230" t="str">
            <v>Chi phí internet</v>
          </cell>
        </row>
        <row r="231">
          <cell r="G231" t="str">
            <v>6277.10</v>
          </cell>
          <cell r="H231" t="str">
            <v>Chi phí thuê văn phòng</v>
          </cell>
        </row>
        <row r="232">
          <cell r="G232" t="str">
            <v>6277.11</v>
          </cell>
          <cell r="H232" t="str">
            <v>Chi phí nâng cấp văn phòng</v>
          </cell>
        </row>
        <row r="233">
          <cell r="G233" t="str">
            <v>6277.12</v>
          </cell>
          <cell r="H233" t="str">
            <v>Chi phí thông tin liên lạc khác</v>
          </cell>
        </row>
        <row r="234">
          <cell r="G234" t="str">
            <v>6277.13</v>
          </cell>
          <cell r="H234" t="str">
            <v>Chi phí quản lý danh mục đầu tư</v>
          </cell>
        </row>
        <row r="235">
          <cell r="G235" t="str">
            <v>6277.14</v>
          </cell>
          <cell r="H235" t="str">
            <v>Chi phí thu hộ qua ví điện tử &amp; trung gian thanh toán</v>
          </cell>
        </row>
        <row r="236">
          <cell r="G236" t="str">
            <v>6277.15</v>
          </cell>
          <cell r="H236" t="str">
            <v>Chi phí chi hộ</v>
          </cell>
        </row>
        <row r="237">
          <cell r="G237" t="str">
            <v>6277.16</v>
          </cell>
          <cell r="H237" t="str">
            <v>Chi phí hỗ trợ phát hành thẻ CIMB-Finhay</v>
          </cell>
        </row>
        <row r="238">
          <cell r="G238" t="str">
            <v>6277.17</v>
          </cell>
          <cell r="H238" t="str">
            <v>Chi phí cho hệ thống dữ liệu</v>
          </cell>
        </row>
        <row r="239">
          <cell r="G239" t="str">
            <v>6277.18</v>
          </cell>
          <cell r="H239" t="str">
            <v>Chi phí tư vấn đầu tư</v>
          </cell>
        </row>
        <row r="240">
          <cell r="G240" t="str">
            <v>6278</v>
          </cell>
          <cell r="H240" t="str">
            <v>Chi phí bằng tiền khác</v>
          </cell>
        </row>
        <row r="241">
          <cell r="G241" t="str">
            <v>632.TDNB</v>
          </cell>
          <cell r="H241" t="str">
            <v>Chi phí tiêu dùng nội bộ</v>
          </cell>
        </row>
        <row r="242">
          <cell r="G242" t="str">
            <v>632</v>
          </cell>
          <cell r="H242" t="str">
            <v>Giá vốn hàng bán</v>
          </cell>
        </row>
        <row r="243">
          <cell r="G243" t="str">
            <v>6331</v>
          </cell>
          <cell r="H243" t="str">
            <v>Chi phí môi giới chứng khoán</v>
          </cell>
        </row>
        <row r="244">
          <cell r="G244" t="str">
            <v>6332</v>
          </cell>
          <cell r="H244" t="str">
            <v>Chi phí lưu ký chứng khoán</v>
          </cell>
        </row>
        <row r="245">
          <cell r="G245"/>
          <cell r="H245"/>
        </row>
        <row r="246">
          <cell r="G246"/>
          <cell r="H246" t="str">
            <v>DOANH THU HOẠT ĐỘNG TÀI CHÍNH</v>
          </cell>
        </row>
        <row r="247">
          <cell r="G247" t="str">
            <v>5151</v>
          </cell>
          <cell r="H247" t="str">
            <v>Doanh thu tài chính: Lãi đã nhận</v>
          </cell>
        </row>
        <row r="248">
          <cell r="G248" t="str">
            <v>5151.01</v>
          </cell>
          <cell r="H248" t="str">
            <v>(IFRS) Doanh thu lãi tiền gửi</v>
          </cell>
        </row>
        <row r="249">
          <cell r="G249" t="str">
            <v>5151.02</v>
          </cell>
          <cell r="H249" t="str">
            <v>(IFRS) Doanh thu lãi tài sản FVTOCI</v>
          </cell>
        </row>
        <row r="250">
          <cell r="G250" t="str">
            <v>5152</v>
          </cell>
          <cell r="H250" t="str">
            <v>Doanh thu tài chính: Lãi dự thu</v>
          </cell>
        </row>
        <row r="251">
          <cell r="G251" t="str">
            <v>5155</v>
          </cell>
          <cell r="H251" t="str">
            <v>Chênh lệch lãi tỷ giá hối đoái đã thực hiện</v>
          </cell>
        </row>
        <row r="252">
          <cell r="G252" t="str">
            <v>5153.01</v>
          </cell>
          <cell r="H252" t="str">
            <v>Lãi từ việc mua bán tài sản - CCQ</v>
          </cell>
        </row>
        <row r="253">
          <cell r="G253" t="str">
            <v>5153.02</v>
          </cell>
          <cell r="H253" t="str">
            <v>Lãi từ việc mua bán tài sản - FI</v>
          </cell>
        </row>
        <row r="254">
          <cell r="G254" t="str">
            <v>5153.03</v>
          </cell>
          <cell r="H254" t="str">
            <v>Lãi từ việc mua bán tài sản - CK</v>
          </cell>
        </row>
        <row r="255">
          <cell r="G255" t="str">
            <v>5154.01</v>
          </cell>
          <cell r="H255" t="str">
            <v>(IFRS) Lãi từ việc đánh giá tài sản tài chính</v>
          </cell>
        </row>
        <row r="256">
          <cell r="G256" t="str">
            <v>5158</v>
          </cell>
          <cell r="H256" t="str">
            <v>Doanh thu hoạt động tài chính: Chênh lệch tỷ giá</v>
          </cell>
        </row>
        <row r="257">
          <cell r="G257" t="str">
            <v>5154</v>
          </cell>
          <cell r="H257" t="str">
            <v>Lãi từ việc đánh giá tài sản/nợ phải trả</v>
          </cell>
        </row>
        <row r="258">
          <cell r="G258" t="str">
            <v>5156</v>
          </cell>
          <cell r="H258" t="str">
            <v>Lãi cho vay</v>
          </cell>
        </row>
        <row r="259">
          <cell r="G259" t="str">
            <v>5157</v>
          </cell>
          <cell r="H259" t="str">
            <v>Doanh thu tài chính: Lãi cổ tức</v>
          </cell>
        </row>
        <row r="260">
          <cell r="G260" t="str">
            <v>5159</v>
          </cell>
          <cell r="H260" t="str">
            <v>(IFRS) Lãi đánh giá lại vàng</v>
          </cell>
        </row>
        <row r="261">
          <cell r="G261" t="str">
            <v>5154.02</v>
          </cell>
          <cell r="H261" t="str">
            <v>Chênh lệch đánh giá tăng FVTPL của VNSC (Revert đầu gốc nếu có phát sinh)</v>
          </cell>
        </row>
        <row r="262">
          <cell r="G262"/>
          <cell r="H262"/>
        </row>
        <row r="263">
          <cell r="G263"/>
          <cell r="H263" t="str">
            <v>CHI PHÍ HOẠT ĐỘNG TÀI CHÍNH</v>
          </cell>
        </row>
        <row r="264">
          <cell r="G264" t="str">
            <v>635</v>
          </cell>
          <cell r="H264" t="str">
            <v>Chi phí tài chính</v>
          </cell>
        </row>
        <row r="265">
          <cell r="G265" t="str">
            <v>6351</v>
          </cell>
          <cell r="H265" t="str">
            <v>Chi phí tài chính: trả lãi cho người dùng</v>
          </cell>
        </row>
        <row r="266">
          <cell r="G266" t="str">
            <v>6352</v>
          </cell>
          <cell r="H266" t="str">
            <v>Chi phí tài chính: dự trả lãi cho người dùng</v>
          </cell>
        </row>
        <row r="267">
          <cell r="G267" t="str">
            <v>6353.01</v>
          </cell>
          <cell r="H267" t="str">
            <v>Lỗ từ việc mua bán tài sản-CCQ,CK</v>
          </cell>
        </row>
        <row r="268">
          <cell r="G268" t="str">
            <v>6353.02</v>
          </cell>
          <cell r="H268" t="str">
            <v>Lỗ từ việc mua bán tài sản-FI</v>
          </cell>
        </row>
        <row r="269">
          <cell r="G269" t="str">
            <v>6353.03</v>
          </cell>
          <cell r="H269" t="str">
            <v>Lỗ từ việc mua bán tài sản-CK</v>
          </cell>
        </row>
        <row r="270">
          <cell r="G270" t="str">
            <v>6354.01</v>
          </cell>
          <cell r="H270" t="str">
            <v>(IFRS) Lỗ từ việc đánh giá tài sản tài chính</v>
          </cell>
        </row>
        <row r="271">
          <cell r="G271" t="str">
            <v>6354.04</v>
          </cell>
          <cell r="H271" t="str">
            <v>Chi phí môi giới và tư vấn đầu tư chứng khoán (VNSC)</v>
          </cell>
        </row>
        <row r="272">
          <cell r="G272" t="str">
            <v>6354</v>
          </cell>
          <cell r="H272" t="str">
            <v>Chi phí dự phòng tổn thất chứng khoán kinh doanh</v>
          </cell>
        </row>
        <row r="273">
          <cell r="G273" t="str">
            <v>6355</v>
          </cell>
          <cell r="H273" t="str">
            <v>Lỗ từ dự phòng giảm giá các khoản đầu tư vào công ty con/công ty liên doanh</v>
          </cell>
        </row>
        <row r="274">
          <cell r="G274" t="str">
            <v>6356</v>
          </cell>
          <cell r="H274" t="str">
            <v>Lãi vay</v>
          </cell>
        </row>
        <row r="275">
          <cell r="G275" t="str">
            <v>6356.01</v>
          </cell>
          <cell r="H275" t="str">
            <v>Lãi vay công ty</v>
          </cell>
        </row>
        <row r="276">
          <cell r="G276" t="str">
            <v>6356.02</v>
          </cell>
          <cell r="H276" t="str">
            <v>Lãi vay trả cho người dùng Saving</v>
          </cell>
        </row>
        <row r="277">
          <cell r="G277" t="str">
            <v>6356.03</v>
          </cell>
          <cell r="H277" t="str">
            <v>Lãi vay dự  trả cho người dùng Saving</v>
          </cell>
        </row>
        <row r="278">
          <cell r="G278" t="str">
            <v>6357</v>
          </cell>
          <cell r="H278" t="str">
            <v>Chi phí tài chính: Phí ứng tiền</v>
          </cell>
        </row>
        <row r="279">
          <cell r="G279" t="str">
            <v>6358</v>
          </cell>
          <cell r="H279" t="str">
            <v>Chi phí tài chính: Chênh lệch tỷ giá</v>
          </cell>
        </row>
        <row r="280">
          <cell r="G280" t="str">
            <v>6358.01</v>
          </cell>
          <cell r="H280" t="str">
            <v>Chi phí tài chính khác</v>
          </cell>
        </row>
        <row r="281">
          <cell r="G281" t="str">
            <v>6355.01</v>
          </cell>
          <cell r="H281" t="str">
            <v>Chi phí dự phòng tổn thất chứng khoán kinh doanh</v>
          </cell>
        </row>
        <row r="282">
          <cell r="G282" t="str">
            <v>6358.02</v>
          </cell>
          <cell r="H282" t="str">
            <v>Chênh lệch đánh giá giảm FVTPL của VNSC (Revert đầu gốc nếu có phát sinh)</v>
          </cell>
        </row>
        <row r="283">
          <cell r="G283" t="str">
            <v>6359</v>
          </cell>
          <cell r="H283" t="str">
            <v>(IFRS) Chi phí thuê tài sản tài chính</v>
          </cell>
        </row>
        <row r="284">
          <cell r="G284"/>
          <cell r="H284"/>
        </row>
        <row r="285">
          <cell r="G285"/>
          <cell r="H285" t="str">
            <v>CHI PHÍ BÁN HÀNG</v>
          </cell>
        </row>
        <row r="286">
          <cell r="G286" t="str">
            <v>6411.01</v>
          </cell>
          <cell r="H286" t="str">
            <v>Chi phí lương thưởng</v>
          </cell>
        </row>
        <row r="287">
          <cell r="G287" t="str">
            <v>6411.02</v>
          </cell>
          <cell r="H287" t="str">
            <v>Các khoản trích nộp bảo hiểm</v>
          </cell>
        </row>
        <row r="288">
          <cell r="G288" t="str">
            <v>6411.03</v>
          </cell>
          <cell r="H288" t="str">
            <v>Chi phí phúc lợi khác</v>
          </cell>
        </row>
        <row r="289">
          <cell r="G289" t="str">
            <v>64111</v>
          </cell>
          <cell r="H289" t="str">
            <v>Lương thưởng</v>
          </cell>
        </row>
        <row r="290">
          <cell r="G290" t="str">
            <v>64112</v>
          </cell>
          <cell r="H290" t="str">
            <v>Các khoản trích lập theo quy định</v>
          </cell>
        </row>
        <row r="291">
          <cell r="G291" t="str">
            <v>64113</v>
          </cell>
          <cell r="H291" t="str">
            <v>Các khoản phúc lợi khác</v>
          </cell>
        </row>
        <row r="292">
          <cell r="G292" t="str">
            <v>6413</v>
          </cell>
          <cell r="H292" t="str">
            <v>Chi phí dụng cụ, đồ dùng</v>
          </cell>
        </row>
        <row r="293">
          <cell r="G293" t="str">
            <v>6414</v>
          </cell>
          <cell r="H293" t="str">
            <v>Chi phí khấu hao TSCĐ</v>
          </cell>
        </row>
        <row r="294">
          <cell r="G294" t="str">
            <v>6417.01</v>
          </cell>
          <cell r="H294" t="str">
            <v>Chi phí thuê văn phòng</v>
          </cell>
        </row>
        <row r="295">
          <cell r="G295" t="str">
            <v>6417.02</v>
          </cell>
          <cell r="H295" t="str">
            <v>Phí quảng cáo</v>
          </cell>
        </row>
        <row r="296">
          <cell r="G296" t="str">
            <v>6417.03</v>
          </cell>
          <cell r="H296" t="str">
            <v>Chi phí branding</v>
          </cell>
        </row>
        <row r="297">
          <cell r="G297" t="str">
            <v>6417.04</v>
          </cell>
          <cell r="H297" t="str">
            <v>Phí internet</v>
          </cell>
        </row>
        <row r="298">
          <cell r="G298" t="str">
            <v>6417.05</v>
          </cell>
          <cell r="H298" t="str">
            <v>Điện thoại &amp; Fax</v>
          </cell>
        </row>
        <row r="299">
          <cell r="G299" t="str">
            <v>6417.06</v>
          </cell>
          <cell r="H299" t="str">
            <v>Phí tên miền</v>
          </cell>
        </row>
        <row r="300">
          <cell r="G300" t="str">
            <v>6417.07</v>
          </cell>
          <cell r="H300" t="str">
            <v>Thông tin liên lạc khác</v>
          </cell>
        </row>
        <row r="301">
          <cell r="G301" t="str">
            <v>6417.08</v>
          </cell>
          <cell r="H301" t="str">
            <v>Chuyển phát nhanh</v>
          </cell>
        </row>
        <row r="302">
          <cell r="G302" t="str">
            <v>6417.09</v>
          </cell>
          <cell r="H302" t="str">
            <v>Chi phí sự kiện bên ngoài</v>
          </cell>
        </row>
        <row r="303">
          <cell r="G303" t="str">
            <v>6417.11</v>
          </cell>
          <cell r="H303" t="str">
            <v>Cải tạo &amp; nâng cấp văn phòng</v>
          </cell>
        </row>
        <row r="304">
          <cell r="G304" t="str">
            <v>6417.12</v>
          </cell>
          <cell r="H304" t="str">
            <v>Chi phí dịch vụ mua ngoài khác</v>
          </cell>
        </row>
        <row r="305">
          <cell r="G305" t="str">
            <v>6417.13</v>
          </cell>
          <cell r="H305" t="str">
            <v>Công tác_Vé máy bay</v>
          </cell>
        </row>
        <row r="306">
          <cell r="G306" t="str">
            <v>6417.14</v>
          </cell>
          <cell r="H306" t="str">
            <v>Công tác_Tiền lưu trú</v>
          </cell>
        </row>
        <row r="307">
          <cell r="G307" t="str">
            <v>6417.15</v>
          </cell>
          <cell r="H307" t="str">
            <v>Công tác_Ăn uống</v>
          </cell>
        </row>
        <row r="308">
          <cell r="G308" t="str">
            <v>6417.16</v>
          </cell>
          <cell r="H308" t="str">
            <v>Công tác_Tiền đi lại</v>
          </cell>
        </row>
        <row r="309">
          <cell r="G309" t="str">
            <v>6417.17</v>
          </cell>
          <cell r="H309" t="str">
            <v>Công tác_Chi phí khác</v>
          </cell>
        </row>
        <row r="310">
          <cell r="G310" t="str">
            <v>6418</v>
          </cell>
          <cell r="H310" t="str">
            <v>Chi phì bằng tiền khác</v>
          </cell>
        </row>
        <row r="311">
          <cell r="G311" t="str">
            <v>6418.01</v>
          </cell>
          <cell r="H311" t="str">
            <v>Thưởng người dùng</v>
          </cell>
        </row>
        <row r="312">
          <cell r="G312" t="str">
            <v>6418.02</v>
          </cell>
          <cell r="H312" t="str">
            <v>Quà tặng khách hàng</v>
          </cell>
        </row>
        <row r="313">
          <cell r="G313" t="str">
            <v>6418.03</v>
          </cell>
          <cell r="H313" t="str">
            <v>Chi phí bằng tiền khác</v>
          </cell>
        </row>
        <row r="314">
          <cell r="G314" t="str">
            <v>6418.04</v>
          </cell>
          <cell r="H314" t="str">
            <v>Ăn uống, tiếp khách</v>
          </cell>
        </row>
        <row r="315">
          <cell r="G315"/>
          <cell r="H315"/>
        </row>
        <row r="316">
          <cell r="G316"/>
          <cell r="H316" t="str">
            <v>CHI PHÍ QUẢN LÝ DOANH NGHIỆP</v>
          </cell>
        </row>
        <row r="317">
          <cell r="G317" t="str">
            <v>6421.01</v>
          </cell>
          <cell r="H317" t="str">
            <v>Chi phí lương thưởng</v>
          </cell>
        </row>
        <row r="318">
          <cell r="G318" t="str">
            <v>6421.02</v>
          </cell>
          <cell r="H318" t="str">
            <v>Các khoản trích nộp bảo hiểm</v>
          </cell>
        </row>
        <row r="319">
          <cell r="G319" t="str">
            <v>6421.03</v>
          </cell>
          <cell r="H319" t="str">
            <v>Phúc lợi khác</v>
          </cell>
        </row>
        <row r="320">
          <cell r="G320" t="str">
            <v>64211</v>
          </cell>
          <cell r="H320" t="str">
            <v>Chi phí lương thưởng</v>
          </cell>
        </row>
        <row r="321">
          <cell r="G321" t="str">
            <v>64212</v>
          </cell>
          <cell r="H321" t="str">
            <v>Các khoản trích lập theo quy định</v>
          </cell>
        </row>
        <row r="322">
          <cell r="G322" t="str">
            <v>64213</v>
          </cell>
          <cell r="H322" t="str">
            <v>Phúc lợi khác</v>
          </cell>
        </row>
        <row r="323">
          <cell r="G323" t="str">
            <v>6422</v>
          </cell>
          <cell r="H323" t="str">
            <v>Chi phí vật liệu quản lý</v>
          </cell>
        </row>
        <row r="324">
          <cell r="G324" t="str">
            <v>6423</v>
          </cell>
          <cell r="H324" t="str">
            <v>Chi phí đồ dùng văn phòng</v>
          </cell>
        </row>
        <row r="325">
          <cell r="G325" t="str">
            <v>6424</v>
          </cell>
          <cell r="H325" t="str">
            <v>Chi phí khấu hao TSCĐ</v>
          </cell>
        </row>
        <row r="326">
          <cell r="G326" t="str">
            <v>6424-GW</v>
          </cell>
          <cell r="H326" t="str">
            <v>Chi phí phân bổ lợi thế thương mại</v>
          </cell>
        </row>
        <row r="327">
          <cell r="G327" t="str">
            <v>6425</v>
          </cell>
          <cell r="H327" t="str">
            <v>Thuế, phí và lệ phí</v>
          </cell>
        </row>
        <row r="328">
          <cell r="G328" t="str">
            <v>6426</v>
          </cell>
          <cell r="H328" t="str">
            <v>Trích lập dự phòng</v>
          </cell>
        </row>
        <row r="329">
          <cell r="G329" t="str">
            <v>6427.01</v>
          </cell>
          <cell r="H329" t="str">
            <v>Phí dịch vụ dữ liệu và ứng dụng cho văn phòng</v>
          </cell>
        </row>
        <row r="330">
          <cell r="G330" t="str">
            <v>6427.02</v>
          </cell>
          <cell r="H330" t="str">
            <v>Phí đi lại</v>
          </cell>
        </row>
        <row r="331">
          <cell r="G331" t="str">
            <v>6427.03</v>
          </cell>
          <cell r="H331" t="str">
            <v>Phí chuyển phát</v>
          </cell>
        </row>
        <row r="332">
          <cell r="G332" t="str">
            <v>6427.04</v>
          </cell>
          <cell r="H332" t="str">
            <v>Phí ngân hàng</v>
          </cell>
        </row>
        <row r="333">
          <cell r="G333" t="str">
            <v>6427.05</v>
          </cell>
          <cell r="H333" t="str">
            <v>Công tác_Tiền vé máy bay</v>
          </cell>
        </row>
        <row r="334">
          <cell r="G334" t="str">
            <v>6427.06</v>
          </cell>
          <cell r="H334" t="str">
            <v>Công tác_Tiền lưu trú</v>
          </cell>
        </row>
        <row r="335">
          <cell r="G335" t="str">
            <v>6427.07</v>
          </cell>
          <cell r="H335" t="str">
            <v>Công tác_Ăn uống</v>
          </cell>
        </row>
        <row r="336">
          <cell r="G336" t="str">
            <v>6427.08</v>
          </cell>
          <cell r="H336" t="str">
            <v>Công tác_Tiền đi lại</v>
          </cell>
        </row>
        <row r="337">
          <cell r="G337" t="str">
            <v>6427.09</v>
          </cell>
          <cell r="H337" t="str">
            <v>Công tác_Chi phí khác</v>
          </cell>
        </row>
        <row r="338">
          <cell r="G338" t="str">
            <v>6427.10</v>
          </cell>
          <cell r="H338" t="str">
            <v>Phí tư vấn kế toán</v>
          </cell>
        </row>
        <row r="339">
          <cell r="G339" t="str">
            <v>6427.11</v>
          </cell>
          <cell r="H339" t="str">
            <v>Phí hỗ trợ kiểm soát gd bank</v>
          </cell>
        </row>
        <row r="340">
          <cell r="G340" t="str">
            <v>6427.12</v>
          </cell>
          <cell r="H340" t="str">
            <v>Phí kiểm toán</v>
          </cell>
        </row>
        <row r="341">
          <cell r="G341" t="str">
            <v>6427.13</v>
          </cell>
          <cell r="H341" t="str">
            <v>Phí chuyển nhượng CK</v>
          </cell>
        </row>
        <row r="342">
          <cell r="G342" t="str">
            <v>6427.14</v>
          </cell>
          <cell r="H342" t="str">
            <v>Văn phòng phẩm</v>
          </cell>
        </row>
        <row r="343">
          <cell r="G343" t="str">
            <v>6427.15</v>
          </cell>
          <cell r="H343" t="str">
            <v>Chi phí điện nước</v>
          </cell>
        </row>
        <row r="344">
          <cell r="G344" t="str">
            <v>6427.16</v>
          </cell>
          <cell r="H344" t="str">
            <v>Chi phí gửi xe</v>
          </cell>
        </row>
        <row r="345">
          <cell r="G345" t="str">
            <v>6427.17</v>
          </cell>
          <cell r="H345" t="str">
            <v>Phí công chứng dịch thuật</v>
          </cell>
        </row>
        <row r="346">
          <cell r="G346" t="str">
            <v>6427.18</v>
          </cell>
          <cell r="H346" t="str">
            <v>Phí dọn vệ sinh</v>
          </cell>
        </row>
        <row r="347">
          <cell r="G347" t="str">
            <v>6427.19</v>
          </cell>
          <cell r="H347" t="str">
            <v>Chi phí dịch vụ mua ngoài khác</v>
          </cell>
        </row>
        <row r="348">
          <cell r="G348" t="str">
            <v>6427.20</v>
          </cell>
          <cell r="H348" t="str">
            <v>Chi phí đào tạo</v>
          </cell>
        </row>
        <row r="349">
          <cell r="G349" t="str">
            <v>6427.21</v>
          </cell>
          <cell r="H349" t="str">
            <v>Chi phí thuê văn phòng</v>
          </cell>
        </row>
        <row r="350">
          <cell r="G350" t="str">
            <v>6427.22</v>
          </cell>
          <cell r="H350" t="str">
            <v>Chi phí cải tạo &amp; nâng cấp văn phòng</v>
          </cell>
        </row>
        <row r="351">
          <cell r="G351" t="str">
            <v>6427.23</v>
          </cell>
          <cell r="H351" t="str">
            <v>Chi phí bảo hiểm cho nhân viên</v>
          </cell>
        </row>
        <row r="352">
          <cell r="G352" t="str">
            <v>6427.24</v>
          </cell>
          <cell r="H352" t="str">
            <v>Chi phí tuyển dụng</v>
          </cell>
        </row>
        <row r="353">
          <cell r="G353" t="str">
            <v>6427.25</v>
          </cell>
          <cell r="H353" t="str">
            <v>Chi phí test COVID</v>
          </cell>
        </row>
        <row r="354">
          <cell r="G354" t="str">
            <v>6427.26</v>
          </cell>
          <cell r="H354" t="str">
            <v>Điện thoại &amp; Fax</v>
          </cell>
        </row>
        <row r="355">
          <cell r="G355" t="str">
            <v>6427.27</v>
          </cell>
          <cell r="H355" t="str">
            <v>Phí bảo hiểm tài sản cố định</v>
          </cell>
        </row>
        <row r="356">
          <cell r="G356" t="str">
            <v>6427.28</v>
          </cell>
          <cell r="H356" t="str">
            <v>Dịch vụ tư vấn pháp lý</v>
          </cell>
        </row>
        <row r="357">
          <cell r="G357" t="str">
            <v>6427.TDNB</v>
          </cell>
          <cell r="H357" t="str">
            <v>Chi phí tiêu dùng nội bộ từ vàng và dịch vụ phần mềm</v>
          </cell>
        </row>
        <row r="358">
          <cell r="G358" t="str">
            <v>6428</v>
          </cell>
          <cell r="H358" t="str">
            <v>Chi phí bằng tiền khác</v>
          </cell>
        </row>
        <row r="359">
          <cell r="G359" t="str">
            <v>6428.01</v>
          </cell>
          <cell r="H359" t="str">
            <v>Ăn uống, tiếp khách</v>
          </cell>
        </row>
        <row r="360">
          <cell r="G360" t="str">
            <v>6428.02</v>
          </cell>
          <cell r="H360" t="str">
            <v>Chi phí bằng tiền khác</v>
          </cell>
        </row>
        <row r="361">
          <cell r="G361" t="str">
            <v>6428.03</v>
          </cell>
          <cell r="H361" t="str">
            <v>Chia sẻ chi phí tin nhắn CIMB</v>
          </cell>
        </row>
        <row r="362">
          <cell r="G362" t="str">
            <v>6429</v>
          </cell>
          <cell r="H362" t="str">
            <v>Chi phí bằng tiền chưa có hóa đơn</v>
          </cell>
        </row>
        <row r="363">
          <cell r="G363"/>
          <cell r="H363"/>
        </row>
        <row r="364">
          <cell r="G364"/>
          <cell r="H364" t="str">
            <v>THU NHẬP KHÁC VÀ CHI PHÍ KHÁC</v>
          </cell>
        </row>
        <row r="365">
          <cell r="G365" t="str">
            <v>711</v>
          </cell>
          <cell r="H365" t="str">
            <v>Doanh thu khác</v>
          </cell>
        </row>
        <row r="366">
          <cell r="G366" t="str">
            <v>811</v>
          </cell>
          <cell r="H366" t="str">
            <v>Chi phí khác</v>
          </cell>
        </row>
        <row r="367">
          <cell r="G367"/>
          <cell r="H367"/>
        </row>
        <row r="368">
          <cell r="G368" t="str">
            <v>8212</v>
          </cell>
          <cell r="H368" t="str">
            <v>Chi phí thuế TNDN hoãn lại - Đánh giá lại TSTC</v>
          </cell>
        </row>
        <row r="369">
          <cell r="G369"/>
          <cell r="H369"/>
        </row>
        <row r="370">
          <cell r="G370" t="str">
            <v>NCI-PL</v>
          </cell>
          <cell r="H370" t="str">
            <v>Lợi ích cổ đông không kiểm soát-PL</v>
          </cell>
        </row>
        <row r="371">
          <cell r="G371"/>
          <cell r="H371"/>
        </row>
        <row r="372">
          <cell r="G372"/>
          <cell r="H372" t="str">
            <v>(IFRS) CREDIT LOSS EXPENSE ON FINANCIAL ASSETS</v>
          </cell>
        </row>
        <row r="373">
          <cell r="G373" t="str">
            <v>ECL-PL</v>
          </cell>
          <cell r="H373" t="str">
            <v>(IFRS) Credit loss expense on financial assets</v>
          </cell>
        </row>
        <row r="374">
          <cell r="G374"/>
          <cell r="H374"/>
        </row>
        <row r="375">
          <cell r="G375" t="str">
            <v>DTI</v>
          </cell>
          <cell r="H375" t="str">
            <v>(IFRS) Chi phí thuế TNDN hoãn lại</v>
          </cell>
        </row>
        <row r="376">
          <cell r="G376"/>
          <cell r="H376"/>
        </row>
        <row r="377">
          <cell r="G377"/>
          <cell r="H377" t="str">
            <v>(IFRS) OTHER COMPREHENSIVE INCOME</v>
          </cell>
        </row>
        <row r="378">
          <cell r="G378" t="str">
            <v>OCI2</v>
          </cell>
          <cell r="H378" t="str">
            <v>(IFRS) Net change in fair value during the year</v>
          </cell>
        </row>
        <row r="379">
          <cell r="G379" t="str">
            <v>OCI2.1</v>
          </cell>
          <cell r="H379" t="str">
            <v>(IIFRS) Allowance for ECL</v>
          </cell>
        </row>
        <row r="380">
          <cell r="G380" t="str">
            <v>OCI3</v>
          </cell>
          <cell r="H380" t="str">
            <v>(IFRS) Income tax related</v>
          </cell>
        </row>
        <row r="381">
          <cell r="G381"/>
          <cell r="H381"/>
        </row>
        <row r="382">
          <cell r="G382"/>
          <cell r="H382" t="str">
            <v>TỔNG LỢI NHUẬN KẾ TOÁN TRƯỚC THUẾ</v>
          </cell>
        </row>
        <row r="384">
          <cell r="H384" t="str">
            <v>CHECK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5 YE23"/>
      <sheetName val="A5 YE22"/>
      <sheetName val="PM TE"/>
      <sheetName val="LS"/>
      <sheetName val="N2FS.IFRS"/>
      <sheetName val="N2FS.C.VAS"/>
      <sheetName val="SOCE.IFRS"/>
      <sheetName val="BS.IFRS"/>
      <sheetName val="PL.IFRS"/>
      <sheetName val="A5.IFRS.YE22"/>
      <sheetName val="A5.IFRS.YE23"/>
      <sheetName val="IFRS.Deferred tax"/>
      <sheetName val="IFRS.Revaluate"/>
      <sheetName val="CF.IFRS"/>
      <sheetName val="Planning"/>
      <sheetName val="A5.CTC.YE23"/>
      <sheetName val="A5.Consol.YE23"/>
      <sheetName val="PL.VAS"/>
      <sheetName val="CF.VAS"/>
      <sheetName val="Matching investment"/>
      <sheetName val="BS.VAS"/>
      <sheetName val="Group"/>
      <sheetName val="CF.W.S"/>
      <sheetName val="TB.S.YE22"/>
      <sheetName val="GL911.S.YE23"/>
      <sheetName val="GL154.S.YE23"/>
      <sheetName val="BOM YE23"/>
      <sheetName val="TB.S.YE23"/>
      <sheetName val="CF.W.C"/>
      <sheetName val="TB.VNSC.YE22"/>
      <sheetName val="N2FS.S.VAS"/>
      <sheetName val="GW"/>
      <sheetName val="EPS"/>
      <sheetName val="TB.XH.YE23"/>
      <sheetName val="911.XH.YE23"/>
      <sheetName val="Dự phòng Finhay JSC"/>
      <sheetName val="TB.KCG.YE23"/>
      <sheetName val="911.KCG.YE23"/>
      <sheetName val="Finhay Ltd.911.YE23"/>
      <sheetName val="Finhay Ltd.TB.YE23"/>
      <sheetName val="911.CTC.YE22"/>
      <sheetName val="TB.CTC.YE22"/>
      <sheetName val="TB VNSC YE23"/>
      <sheetName val="TB.KCG.YE22"/>
      <sheetName val="911.KCG.YE22"/>
      <sheetName val="TB.XH.YE22"/>
      <sheetName val="911.XH.YE22"/>
      <sheetName val="911.VNSC.YE22"/>
      <sheetName val="911 VNSC YE23"/>
      <sheetName val="GL911.S.YE22"/>
      <sheetName val="GL154.S.YE22"/>
    </sheetNames>
    <sheetDataSet>
      <sheetData sheetId="0"/>
      <sheetData sheetId="1"/>
      <sheetData sheetId="2"/>
      <sheetData sheetId="3">
        <row r="6">
          <cell r="G6" t="str">
            <v>LS Account</v>
          </cell>
          <cell r="H6" t="str">
            <v>Account name</v>
          </cell>
        </row>
        <row r="7">
          <cell r="G7" t="str">
            <v>BẢNG CÂN ĐỐI KẾ TOÁN</v>
          </cell>
          <cell r="H7"/>
        </row>
        <row r="8">
          <cell r="G8"/>
          <cell r="H8"/>
        </row>
        <row r="9">
          <cell r="G9"/>
          <cell r="H9" t="str">
            <v>TÀI SẢN NGẮN HẠN</v>
          </cell>
        </row>
        <row r="10">
          <cell r="G10"/>
          <cell r="H10" t="str">
            <v>TIỀN MẶT</v>
          </cell>
        </row>
        <row r="11">
          <cell r="G11" t="str">
            <v>1111</v>
          </cell>
          <cell r="H11" t="str">
            <v>Tiền Việt Nam</v>
          </cell>
        </row>
        <row r="12">
          <cell r="G12" t="str">
            <v>1121</v>
          </cell>
          <cell r="H12" t="str">
            <v>Tiền gửi tại ngân hàng</v>
          </cell>
        </row>
        <row r="13">
          <cell r="G13" t="str">
            <v>1122</v>
          </cell>
          <cell r="H13" t="str">
            <v>Tiền Ngoại tệ</v>
          </cell>
        </row>
        <row r="14">
          <cell r="G14" t="str">
            <v>11311</v>
          </cell>
          <cell r="H14" t="str">
            <v>Tiền đang chuyển: Từ chuyển tiền nội bộ</v>
          </cell>
        </row>
        <row r="15">
          <cell r="G15" t="str">
            <v>11312</v>
          </cell>
          <cell r="H15" t="str">
            <v>Tiền đang chuyển: Người dùng nạp tiền đã khớp nhưng ngân hàng chưa ghi có tài khoản</v>
          </cell>
        </row>
        <row r="16">
          <cell r="G16"/>
          <cell r="H16"/>
        </row>
        <row r="17">
          <cell r="G17"/>
          <cell r="H17" t="str">
            <v>CÁC KHOẢN TƯƠNG ĐƯƠNG TIỀN</v>
          </cell>
        </row>
        <row r="18">
          <cell r="G18" t="str">
            <v>1123</v>
          </cell>
          <cell r="H18" t="str">
            <v>Các khoản tương đương tiền</v>
          </cell>
        </row>
        <row r="19">
          <cell r="G19"/>
          <cell r="H19"/>
        </row>
        <row r="20">
          <cell r="G20"/>
          <cell r="H20" t="str">
            <v>ĐẦU TƯ TÀI SẢN TÀI CHÍNH NGẮN HẠN</v>
          </cell>
        </row>
        <row r="21">
          <cell r="G21"/>
          <cell r="H21" t="str">
            <v>CHỨNG KHOÁN KINH DOANH</v>
          </cell>
        </row>
        <row r="22">
          <cell r="G22" t="str">
            <v>1211</v>
          </cell>
          <cell r="H22" t="str">
            <v>Cổ phiếu</v>
          </cell>
        </row>
        <row r="23">
          <cell r="G23" t="str">
            <v>1212</v>
          </cell>
          <cell r="H23" t="str">
            <v>Trái phiếu</v>
          </cell>
        </row>
        <row r="24">
          <cell r="G24" t="str">
            <v>1218</v>
          </cell>
          <cell r="H24" t="str">
            <v>Chứng chỉ quỹ + Chứng khoán kinh doanh khác</v>
          </cell>
        </row>
        <row r="25">
          <cell r="G25" t="str">
            <v>2291</v>
          </cell>
          <cell r="H25" t="str">
            <v>Dự phòng tổn thất chứng khoán kinh doanh</v>
          </cell>
        </row>
        <row r="26">
          <cell r="G26" t="str">
            <v>1211.02</v>
          </cell>
          <cell r="H26" t="str">
            <v>Đánh giá lại cổ phiếu (của VNSC revert nếu có số dư)</v>
          </cell>
        </row>
        <row r="27">
          <cell r="G27" t="str">
            <v>1212.02</v>
          </cell>
          <cell r="H27" t="str">
            <v>Đánh giá lại trái phiếu (của VNSC revert nếu có số dư)</v>
          </cell>
        </row>
        <row r="28">
          <cell r="G28" t="str">
            <v>1218.02</v>
          </cell>
          <cell r="H28" t="str">
            <v>Đánh giá lại chứng khoán kinh doanh khác (của VNSC revert nếu có số dư)</v>
          </cell>
        </row>
        <row r="29">
          <cell r="G29"/>
          <cell r="H29"/>
        </row>
        <row r="30">
          <cell r="G30"/>
          <cell r="H30" t="str">
            <v>ĐẦU TƯ NẮM GIỮ ĐẾN NGÀY ĐÁO HẠN</v>
          </cell>
        </row>
        <row r="31">
          <cell r="G31" t="str">
            <v>1281.01</v>
          </cell>
          <cell r="H31" t="str">
            <v>Tiền gửi có kỳ hạn &lt; 3 tháng (Finhay)</v>
          </cell>
        </row>
        <row r="32">
          <cell r="G32" t="str">
            <v>1281.02</v>
          </cell>
          <cell r="H32" t="str">
            <v>Tiền gửi có kỳ hạn &gt; 3 tháng (Users)</v>
          </cell>
        </row>
        <row r="33">
          <cell r="G33" t="str">
            <v>1281.03</v>
          </cell>
          <cell r="H33" t="str">
            <v>Tiền gửi có kỳ hạn &gt; 3 tháng (Finhay)</v>
          </cell>
        </row>
        <row r="34">
          <cell r="G34" t="str">
            <v>1281.04</v>
          </cell>
          <cell r="H34" t="str">
            <v>Tiền gửi có kỳ hạn &lt; 3 tháng (Users)</v>
          </cell>
        </row>
        <row r="35">
          <cell r="G35" t="str">
            <v>1283</v>
          </cell>
          <cell r="H35" t="str">
            <v>Cho vay</v>
          </cell>
        </row>
        <row r="36">
          <cell r="G36"/>
          <cell r="H36"/>
        </row>
        <row r="37">
          <cell r="G37"/>
          <cell r="H37" t="str">
            <v>CÁC KHOẢN PHẢI THU NGẮN HẠN</v>
          </cell>
        </row>
        <row r="38">
          <cell r="G38" t="str">
            <v>131</v>
          </cell>
          <cell r="H38" t="str">
            <v>Phải thu của khách hàng</v>
          </cell>
        </row>
        <row r="39">
          <cell r="G39" t="str">
            <v>131.01</v>
          </cell>
          <cell r="H39" t="str">
            <v>Phải thu của khách hàng</v>
          </cell>
        </row>
        <row r="40">
          <cell r="G40"/>
          <cell r="H40"/>
        </row>
        <row r="41">
          <cell r="G41"/>
          <cell r="H41" t="str">
            <v>TRẢ TRƯỚC CHO NGƯỜI BÁN NGẮN HẠN</v>
          </cell>
        </row>
        <row r="42">
          <cell r="G42" t="str">
            <v>331N</v>
          </cell>
          <cell r="H42" t="str">
            <v>Trả trước cho người bán</v>
          </cell>
        </row>
        <row r="43">
          <cell r="G43" t="str">
            <v>331.02</v>
          </cell>
          <cell r="H43" t="str">
            <v>Trả trước cho người bán</v>
          </cell>
        </row>
        <row r="44">
          <cell r="G44"/>
          <cell r="H44"/>
        </row>
        <row r="45">
          <cell r="G45"/>
          <cell r="H45" t="str">
            <v>PHẢI THU NGẮN HẠN KHÁC</v>
          </cell>
        </row>
        <row r="46">
          <cell r="G46" t="str">
            <v>1321</v>
          </cell>
          <cell r="H46" t="str">
            <v>Lãi dự thu margin và UTTB của VNSC (có cả lãi CCTG, Trái phiếu nếu chưa vert)</v>
          </cell>
        </row>
        <row r="47">
          <cell r="G47" t="str">
            <v>1388.Quy</v>
          </cell>
          <cell r="H47" t="str">
            <v>Phải thu khác</v>
          </cell>
        </row>
        <row r="48">
          <cell r="G48" t="str">
            <v>1388.NAV</v>
          </cell>
          <cell r="H48" t="str">
            <v>Chênh lệch NAV CCQ</v>
          </cell>
        </row>
        <row r="49">
          <cell r="G49" t="str">
            <v>1388.CK</v>
          </cell>
          <cell r="H49" t="str">
            <v>Phải thu khác: Phải thu từ các công cụ tài chính (Chứng khoán)</v>
          </cell>
        </row>
        <row r="50">
          <cell r="G50" t="str">
            <v>1388.User</v>
          </cell>
          <cell r="H50" t="str">
            <v>Phải thu của user (Chứng khoán)</v>
          </cell>
        </row>
        <row r="51">
          <cell r="G51" t="str">
            <v>1388.Bank</v>
          </cell>
          <cell r="H51" t="str">
            <v>Phải thu lãi từ HD tiền gửi</v>
          </cell>
        </row>
        <row r="52">
          <cell r="G52" t="str">
            <v>1388.CT</v>
          </cell>
          <cell r="H52" t="str">
            <v>Phải thu cổ tức bằng tiền</v>
          </cell>
        </row>
        <row r="53">
          <cell r="G53" t="str">
            <v>1388.Khac</v>
          </cell>
          <cell r="H53" t="str">
            <v>Phải thu khác</v>
          </cell>
        </row>
        <row r="54">
          <cell r="G54" t="str">
            <v>1388.Other</v>
          </cell>
          <cell r="H54" t="str">
            <v>Phải thu khác</v>
          </cell>
        </row>
        <row r="55">
          <cell r="G55" t="str">
            <v>1388.Vi</v>
          </cell>
          <cell r="H55" t="str">
            <v>Phải thu khác</v>
          </cell>
        </row>
        <row r="56">
          <cell r="G56" t="str">
            <v>1388.Pool</v>
          </cell>
          <cell r="H56" t="str">
            <v>Phải thu khác: Liquidity Pool (chưa thu/trả)</v>
          </cell>
        </row>
        <row r="57">
          <cell r="G57" t="str">
            <v>1388.Gold</v>
          </cell>
          <cell r="H57" t="str">
            <v>Phải thu khác - Sản phẩm vàng</v>
          </cell>
        </row>
        <row r="58">
          <cell r="G58" t="str">
            <v>1388.NghiepvuCK</v>
          </cell>
          <cell r="H58" t="str">
            <v>Phải thu hoạt động nghiệp vụ chứng khoán</v>
          </cell>
        </row>
        <row r="59">
          <cell r="G59" t="str">
            <v>141</v>
          </cell>
          <cell r="H59" t="str">
            <v>Tạm ứng</v>
          </cell>
        </row>
        <row r="60">
          <cell r="G60" t="str">
            <v>244</v>
          </cell>
          <cell r="H60" t="str">
            <v>Cầm cố, thế chấp, ký quỹ, ký cược ngắn hạn</v>
          </cell>
        </row>
        <row r="61">
          <cell r="G61" t="str">
            <v>1398</v>
          </cell>
          <cell r="H61" t="str">
            <v>Dự phòng suy giảm giá trị phải thu khác</v>
          </cell>
        </row>
        <row r="62">
          <cell r="G62"/>
          <cell r="H62"/>
        </row>
        <row r="63">
          <cell r="G63"/>
          <cell r="H63" t="str">
            <v>HÀNG TỒN KHO</v>
          </cell>
        </row>
        <row r="64">
          <cell r="G64" t="str">
            <v>1531</v>
          </cell>
          <cell r="H64" t="str">
            <v>Công cụ, dụng cụ</v>
          </cell>
        </row>
        <row r="65">
          <cell r="G65" t="str">
            <v>1562</v>
          </cell>
          <cell r="H65" t="str">
            <v>(IFRS) Hàng hóa khác</v>
          </cell>
        </row>
        <row r="66">
          <cell r="G66" t="str">
            <v>1561</v>
          </cell>
          <cell r="H66" t="str">
            <v>Giá mua hàng hóa</v>
          </cell>
        </row>
        <row r="67">
          <cell r="G67"/>
          <cell r="H67"/>
        </row>
        <row r="68">
          <cell r="G68"/>
          <cell r="H68" t="str">
            <v>TÀI SẢN NGẮN HẠN KHÁC</v>
          </cell>
        </row>
        <row r="69">
          <cell r="G69" t="str">
            <v>2421</v>
          </cell>
          <cell r="H69" t="str">
            <v>Công cụ dụng cụ ngắn hạn</v>
          </cell>
        </row>
        <row r="70">
          <cell r="G70" t="str">
            <v>2422.01</v>
          </cell>
          <cell r="H70" t="str">
            <v>Chi phí trả trước - ngắn hạn</v>
          </cell>
        </row>
        <row r="71">
          <cell r="G71" t="str">
            <v>1331</v>
          </cell>
          <cell r="H71" t="str">
            <v>Thuế GTGT được khấu trừ của hàng hóa, dịch vụ</v>
          </cell>
        </row>
        <row r="72">
          <cell r="G72" t="str">
            <v>1332</v>
          </cell>
          <cell r="H72" t="str">
            <v>Thuế GTGT được khấu trừ của TSCĐ</v>
          </cell>
        </row>
        <row r="73">
          <cell r="G73"/>
          <cell r="H73"/>
        </row>
        <row r="74">
          <cell r="G74"/>
          <cell r="H74" t="str">
            <v>TÀI SẢN DÀI HẠN</v>
          </cell>
        </row>
        <row r="75">
          <cell r="G75"/>
          <cell r="H75"/>
        </row>
        <row r="76">
          <cell r="G76"/>
          <cell r="H76" t="str">
            <v>TÀI SẢN CỐ ĐỊNH HỮU HÌNH</v>
          </cell>
        </row>
        <row r="77">
          <cell r="G77" t="str">
            <v>ROU</v>
          </cell>
          <cell r="H77" t="str">
            <v>(IFRS) Right of use</v>
          </cell>
        </row>
        <row r="78">
          <cell r="G78" t="str">
            <v>2112</v>
          </cell>
          <cell r="H78" t="str">
            <v>Máy móc, thiết bị</v>
          </cell>
        </row>
        <row r="79">
          <cell r="G79" t="str">
            <v>2113</v>
          </cell>
          <cell r="H79" t="str">
            <v>Phương tiện vận tải, truyền dẫn</v>
          </cell>
        </row>
        <row r="80">
          <cell r="G80" t="str">
            <v>2114</v>
          </cell>
          <cell r="H80" t="str">
            <v>Thiết bị, dụng cụ quản lý</v>
          </cell>
        </row>
        <row r="81">
          <cell r="G81" t="str">
            <v>2141</v>
          </cell>
          <cell r="H81" t="str">
            <v>Hao mòn TSCĐ hữu hình</v>
          </cell>
        </row>
        <row r="82">
          <cell r="G82"/>
          <cell r="H82"/>
        </row>
        <row r="83">
          <cell r="G83"/>
          <cell r="H83" t="str">
            <v>TÀI SẢN CỐ ĐỊNH VÔ HÌNH</v>
          </cell>
        </row>
        <row r="84">
          <cell r="G84" t="str">
            <v>2135</v>
          </cell>
          <cell r="H84" t="str">
            <v>Chương trình phần mềm</v>
          </cell>
        </row>
        <row r="85">
          <cell r="G85" t="str">
            <v>2133</v>
          </cell>
          <cell r="H85" t="str">
            <v>Bản quyền phần mềm, bằng sáng chế</v>
          </cell>
        </row>
        <row r="86">
          <cell r="G86" t="str">
            <v>2143</v>
          </cell>
          <cell r="H86" t="str">
            <v>Hao mòn TSCĐ vô hình</v>
          </cell>
        </row>
        <row r="87">
          <cell r="G87"/>
          <cell r="H87"/>
        </row>
        <row r="88">
          <cell r="G88"/>
          <cell r="H88" t="str">
            <v>CHI PHÍ XÂY DỰNG CƠ BẢN DỞ DANG</v>
          </cell>
        </row>
        <row r="89">
          <cell r="G89" t="str">
            <v>2411</v>
          </cell>
          <cell r="H89" t="str">
            <v>Mua sắm TSCĐ</v>
          </cell>
        </row>
        <row r="90">
          <cell r="G90" t="str">
            <v>2412</v>
          </cell>
          <cell r="H90" t="str">
            <v>Xây dựng cơ bản</v>
          </cell>
        </row>
        <row r="91">
          <cell r="G91" t="str">
            <v>2413</v>
          </cell>
          <cell r="H91" t="str">
            <v>Sửa chữa lớn TSCĐ</v>
          </cell>
        </row>
        <row r="92">
          <cell r="G92"/>
          <cell r="H92"/>
        </row>
        <row r="93">
          <cell r="G93"/>
          <cell r="H93" t="str">
            <v>ĐẦU TƯ TÀI CHÍNH DÀI HẠN</v>
          </cell>
        </row>
        <row r="94">
          <cell r="G94" t="str">
            <v>221</v>
          </cell>
          <cell r="H94" t="str">
            <v>Đầu tư vào công ty con</v>
          </cell>
        </row>
        <row r="95">
          <cell r="G95" t="str">
            <v>2288</v>
          </cell>
          <cell r="H95" t="str">
            <v>Đầu tư khác</v>
          </cell>
        </row>
        <row r="96">
          <cell r="G96" t="str">
            <v>2292</v>
          </cell>
          <cell r="H96" t="str">
            <v>Dự phòng tổn thất đầu tư vào đơn vị khác</v>
          </cell>
        </row>
        <row r="97">
          <cell r="G97"/>
          <cell r="H97"/>
        </row>
        <row r="98">
          <cell r="G98"/>
          <cell r="H98" t="str">
            <v>TÀI SẢN DÀI HẠN KHÁC</v>
          </cell>
        </row>
        <row r="99">
          <cell r="G99" t="str">
            <v>2421.02</v>
          </cell>
          <cell r="H99" t="str">
            <v>Công cụ dụng cụ dài hạn</v>
          </cell>
        </row>
        <row r="100">
          <cell r="G100" t="str">
            <v>2423</v>
          </cell>
          <cell r="H100" t="str">
            <v>Chi phí trả trước dài hạn chờ phân bổ</v>
          </cell>
        </row>
        <row r="101">
          <cell r="G101" t="str">
            <v>2422</v>
          </cell>
          <cell r="H101" t="str">
            <v>(IFRS) Chi phí trả trước (Account net)</v>
          </cell>
        </row>
        <row r="102">
          <cell r="G102" t="str">
            <v>2422.02</v>
          </cell>
          <cell r="H102" t="str">
            <v>Chi phí trả trước - dài hạn</v>
          </cell>
        </row>
        <row r="103">
          <cell r="G103" t="str">
            <v>GW</v>
          </cell>
          <cell r="H103" t="str">
            <v>Lợi thế thương mại</v>
          </cell>
        </row>
        <row r="104">
          <cell r="G104" t="str">
            <v>2442</v>
          </cell>
          <cell r="H104" t="str">
            <v>Cầm cố, thế chấp, ký quỹ, ký cược dài hạn</v>
          </cell>
        </row>
        <row r="105">
          <cell r="G105"/>
          <cell r="H105"/>
        </row>
        <row r="106">
          <cell r="G106" t="str">
            <v>DTA</v>
          </cell>
          <cell r="H106" t="str">
            <v>(IFRS) Tài sản thuế TNDN hoãn lại</v>
          </cell>
        </row>
        <row r="107">
          <cell r="G107"/>
          <cell r="H107"/>
        </row>
        <row r="108">
          <cell r="G108"/>
          <cell r="H108" t="str">
            <v>TỔNG TÀI SẢN</v>
          </cell>
        </row>
        <row r="109">
          <cell r="G109"/>
          <cell r="H109"/>
        </row>
        <row r="110">
          <cell r="G110"/>
          <cell r="H110" t="str">
            <v>NỢ PHẢI TRẢ</v>
          </cell>
        </row>
        <row r="111">
          <cell r="G111"/>
          <cell r="H111"/>
        </row>
        <row r="112">
          <cell r="G112" t="str">
            <v>LL</v>
          </cell>
          <cell r="H112" t="str">
            <v>(IFRS) Lease liability</v>
          </cell>
        </row>
        <row r="113">
          <cell r="G113"/>
          <cell r="H113"/>
        </row>
        <row r="114">
          <cell r="G114"/>
          <cell r="H114" t="str">
            <v>NỢ NGẮN HẠN</v>
          </cell>
        </row>
        <row r="115">
          <cell r="G115" t="str">
            <v>331.01</v>
          </cell>
          <cell r="H115" t="str">
            <v>Phải trả cho người bán</v>
          </cell>
        </row>
        <row r="116">
          <cell r="G116"/>
          <cell r="H116"/>
        </row>
        <row r="117">
          <cell r="G117"/>
          <cell r="H117" t="str">
            <v>THUẾ VÀ CÁC KHOẢN PHẢI NỘP NHÀ NƯỚC</v>
          </cell>
        </row>
        <row r="118">
          <cell r="G118" t="str">
            <v>33311</v>
          </cell>
          <cell r="H118" t="str">
            <v>Thuế GTGT đầu ra</v>
          </cell>
        </row>
        <row r="119">
          <cell r="G119" t="str">
            <v>33382</v>
          </cell>
          <cell r="H119" t="str">
            <v>Các loại thuế khác</v>
          </cell>
        </row>
        <row r="120">
          <cell r="G120" t="str">
            <v>3339</v>
          </cell>
          <cell r="H120" t="str">
            <v>Phí, lệ phí và các khoản phải nộp khác</v>
          </cell>
        </row>
        <row r="121">
          <cell r="G121" t="str">
            <v>3335.NLD</v>
          </cell>
          <cell r="H121" t="str">
            <v>Thuế thu nhập cá nhân lao động TNHH Finhay Việt Nam</v>
          </cell>
        </row>
        <row r="122">
          <cell r="G122" t="str">
            <v>3335.FH</v>
          </cell>
          <cell r="H122" t="str">
            <v>Thuế thu nhập cá nhân lao động Finhay</v>
          </cell>
        </row>
        <row r="123">
          <cell r="G123" t="str">
            <v>3335.LV</v>
          </cell>
          <cell r="H123" t="str">
            <v>Thuế thu nhập cá nhân từ lãi vay</v>
          </cell>
        </row>
        <row r="124">
          <cell r="G124" t="str">
            <v>3335.TN</v>
          </cell>
          <cell r="H124" t="str">
            <v>Thuế thu nhập cá nhân dịch vụ thuê ngoài</v>
          </cell>
        </row>
        <row r="125">
          <cell r="G125" t="str">
            <v>3335.User</v>
          </cell>
          <cell r="H125" t="str">
            <v>Thuế thu nhập cá nhân của người dùng</v>
          </cell>
        </row>
        <row r="126">
          <cell r="G126" t="str">
            <v>3335-NLD</v>
          </cell>
          <cell r="H126" t="str">
            <v>Thuế thu nhập cá nhân của người lao động</v>
          </cell>
        </row>
        <row r="127">
          <cell r="G127"/>
          <cell r="H127"/>
        </row>
        <row r="128">
          <cell r="G128"/>
          <cell r="H128" t="str">
            <v>PHẢI TRẢ NGƯỜI LAO ĐỘNG</v>
          </cell>
        </row>
        <row r="129">
          <cell r="G129" t="str">
            <v>3341</v>
          </cell>
          <cell r="H129" t="str">
            <v>Phải trả công nhân viên</v>
          </cell>
        </row>
        <row r="130">
          <cell r="G130"/>
          <cell r="H130"/>
        </row>
        <row r="131">
          <cell r="G131"/>
          <cell r="H131" t="str">
            <v>CHI PHÍ PHẢI TRẢ NGẮN HẠN</v>
          </cell>
        </row>
        <row r="132">
          <cell r="G132" t="str">
            <v>335</v>
          </cell>
          <cell r="H132" t="str">
            <v>Chi phí phải trả</v>
          </cell>
        </row>
        <row r="133">
          <cell r="G133"/>
          <cell r="H133"/>
        </row>
        <row r="134">
          <cell r="G134"/>
          <cell r="H134" t="str">
            <v>DOANH THU CHƯA THỰC HIỆN NGẮN HẠN</v>
          </cell>
        </row>
        <row r="135">
          <cell r="G135" t="str">
            <v>3387</v>
          </cell>
          <cell r="H135" t="str">
            <v>Doanh thu chưa thực hiện ngắn hạn</v>
          </cell>
        </row>
        <row r="136">
          <cell r="G136"/>
          <cell r="H136"/>
        </row>
        <row r="137">
          <cell r="G137"/>
          <cell r="H137" t="str">
            <v>PHẢI TRẢ NGẮN HẠN KHÁC</v>
          </cell>
        </row>
        <row r="138">
          <cell r="G138" t="str">
            <v>3388.Cash</v>
          </cell>
          <cell r="H138" t="str">
            <v>Tài khoản tiền của user (Chứng khoán)</v>
          </cell>
        </row>
        <row r="139">
          <cell r="G139" t="str">
            <v>3388.CCQ</v>
          </cell>
          <cell r="H139" t="str">
            <v>Phải trả người dùng: Chứng chỉ quỹ</v>
          </cell>
        </row>
        <row r="140">
          <cell r="G140" t="str">
            <v>3388.CK</v>
          </cell>
          <cell r="H140" t="str">
            <v>Phải trả người dùng: Chứng khoán</v>
          </cell>
        </row>
        <row r="141">
          <cell r="G141" t="str">
            <v>3388.CT</v>
          </cell>
          <cell r="H141" t="str">
            <v>Phải trả người dùng: Cổ tức bằng tiền</v>
          </cell>
        </row>
        <row r="142">
          <cell r="G142" t="str">
            <v>3388.Gold</v>
          </cell>
          <cell r="H142" t="str">
            <v>Phải trả, phải nộp khác - Vàng</v>
          </cell>
        </row>
        <row r="143">
          <cell r="G143" t="str">
            <v>3388.Khac</v>
          </cell>
          <cell r="H143" t="str">
            <v>Phải trả, phải nộp khác: Khác</v>
          </cell>
        </row>
        <row r="144">
          <cell r="G144" t="str">
            <v>3388.Lai CCTG</v>
          </cell>
          <cell r="H144" t="str">
            <v>Phải trả người dùng: Lãi tích lũy phải trả người dùng</v>
          </cell>
        </row>
        <row r="145">
          <cell r="G145" t="str">
            <v>3388.Quy</v>
          </cell>
          <cell r="H145" t="str">
            <v>Phải trả, phải nộp quỹ</v>
          </cell>
        </row>
        <row r="146">
          <cell r="G146" t="str">
            <v>3388.TD3</v>
          </cell>
          <cell r="H146" t="str">
            <v>Phải trả người dùng: Sản phẩm tích lũy có kỳ hạn</v>
          </cell>
        </row>
        <row r="147">
          <cell r="G147" t="str">
            <v>3388.Pool</v>
          </cell>
          <cell r="H147" t="str">
            <v>Phải trả, phải nộp - Vàng (Liquidity Pool)</v>
          </cell>
        </row>
        <row r="148">
          <cell r="G148" t="str">
            <v>3388.SS</v>
          </cell>
          <cell r="H148" t="str">
            <v>Phải trả người dùng: Super Saving</v>
          </cell>
        </row>
        <row r="149">
          <cell r="G149" t="str">
            <v>3388.TD</v>
          </cell>
          <cell r="H149" t="str">
            <v>Phải trả người dùng: Sản phẩm tích lũy có kỳ hạn</v>
          </cell>
        </row>
        <row r="150">
          <cell r="G150" t="str">
            <v>3388.Bank</v>
          </cell>
          <cell r="H150" t="str">
            <v>Phải trả, phải nộp ngân hàng</v>
          </cell>
        </row>
        <row r="151">
          <cell r="G151" t="str">
            <v>3388.BH</v>
          </cell>
          <cell r="H151" t="str">
            <v>Phải trả, phải nộp khác - Bảo hiểm</v>
          </cell>
        </row>
        <row r="152">
          <cell r="G152" t="str">
            <v>3388.CCTG</v>
          </cell>
          <cell r="H152" t="str">
            <v>Phải trả người dùng-Chứng chỉ tiền gửi</v>
          </cell>
        </row>
        <row r="153">
          <cell r="G153" t="str">
            <v>3388.CL9</v>
          </cell>
          <cell r="H153" t="str">
            <v>Phải trả người dùng-CỬU LONG 9</v>
          </cell>
        </row>
        <row r="154">
          <cell r="G154" t="str">
            <v>3388.Nsav</v>
          </cell>
          <cell r="H154" t="str">
            <v>Phải trả người dùng: New Saving (Non-term)</v>
          </cell>
        </row>
        <row r="155">
          <cell r="G155" t="str">
            <v>3388.Saving</v>
          </cell>
          <cell r="H155" t="str">
            <v>Phải trả người dùng: New Saving (Term)</v>
          </cell>
        </row>
        <row r="156">
          <cell r="G156" t="str">
            <v>3388.Pending</v>
          </cell>
          <cell r="H156" t="str">
            <v>Phải trả người dùng-Tiền nạp chưa khớp</v>
          </cell>
        </row>
        <row r="157">
          <cell r="G157" t="str">
            <v>3388-Gốc-Lãi lỗ</v>
          </cell>
          <cell r="H157" t="str">
            <v>Phải trả người dùng-Chứng chỉ quỹ</v>
          </cell>
        </row>
        <row r="158">
          <cell r="G158" t="str">
            <v>3388-Khác</v>
          </cell>
          <cell r="H158" t="str">
            <v>Phải trả, phải nộp khác</v>
          </cell>
        </row>
        <row r="159">
          <cell r="G159" t="str">
            <v>3388.Other</v>
          </cell>
          <cell r="H159" t="str">
            <v>Phải trả, phải nộp khác</v>
          </cell>
        </row>
        <row r="160">
          <cell r="G160" t="str">
            <v>3388.NAV</v>
          </cell>
          <cell r="H160" t="str">
            <v>Phải trả, phải nộp khác - 1388.NAV dư có</v>
          </cell>
        </row>
        <row r="161">
          <cell r="G161" t="str">
            <v>3388.FHB</v>
          </cell>
          <cell r="H161" t="str">
            <v>Phải trả người dùng: Túi Finhay</v>
          </cell>
        </row>
        <row r="162">
          <cell r="G162" t="str">
            <v>3388.TLKH</v>
          </cell>
          <cell r="H162" t="str">
            <v>Phải trả người dùng: Sản phẩm tích lũy có kỳ hạn mới</v>
          </cell>
        </row>
        <row r="163">
          <cell r="G163" t="str">
            <v>3388.NghiepvuCK</v>
          </cell>
          <cell r="H163" t="str">
            <v>Phải trả hoạt động nghiệp vụ chứng khoán</v>
          </cell>
        </row>
        <row r="164">
          <cell r="G164" t="str">
            <v>3382</v>
          </cell>
          <cell r="H164" t="str">
            <v>Kinh phí công đoàn</v>
          </cell>
        </row>
        <row r="165">
          <cell r="G165" t="str">
            <v>3383</v>
          </cell>
          <cell r="H165" t="str">
            <v>Bảo hiểm xã hội</v>
          </cell>
        </row>
        <row r="166">
          <cell r="G166" t="str">
            <v>3384</v>
          </cell>
          <cell r="H166" t="str">
            <v>Bảo hiểm y tế</v>
          </cell>
        </row>
        <row r="167">
          <cell r="G167" t="str">
            <v>3386</v>
          </cell>
          <cell r="H167" t="str">
            <v>Bảo hiểm thất nghiệp</v>
          </cell>
        </row>
        <row r="168">
          <cell r="G168"/>
          <cell r="H168"/>
        </row>
        <row r="169">
          <cell r="G169"/>
          <cell r="H169" t="str">
            <v>(IFRS) PHẢI TRẢ THUẾ TNDN HOÃN LẠI</v>
          </cell>
        </row>
        <row r="170">
          <cell r="G170" t="str">
            <v>DTL</v>
          </cell>
          <cell r="H170" t="str">
            <v>(IFRS) Phải trả thuế TNDN hoãn lại</v>
          </cell>
        </row>
        <row r="171">
          <cell r="G171"/>
          <cell r="H171"/>
        </row>
        <row r="172">
          <cell r="G172"/>
          <cell r="H172" t="str">
            <v>NỢ PHẢI TRẢ DÀI HẠN</v>
          </cell>
        </row>
        <row r="173">
          <cell r="G173"/>
          <cell r="H173" t="str">
            <v>DOANH THU CHƯA THỰC HIỆN DÀI HẠN</v>
          </cell>
        </row>
        <row r="174">
          <cell r="G174" t="str">
            <v>3387.02</v>
          </cell>
          <cell r="H174" t="str">
            <v>Doanh thu chưa thực hiện dài hạn</v>
          </cell>
        </row>
        <row r="175">
          <cell r="G175"/>
          <cell r="H175"/>
        </row>
        <row r="176">
          <cell r="G176"/>
          <cell r="H176" t="str">
            <v>VAY NGẮN HẠN</v>
          </cell>
        </row>
        <row r="177">
          <cell r="G177" t="str">
            <v>3411</v>
          </cell>
          <cell r="H177" t="str">
            <v>Các khoản đi vay</v>
          </cell>
        </row>
        <row r="178">
          <cell r="G178"/>
          <cell r="H178"/>
        </row>
        <row r="179">
          <cell r="G179"/>
          <cell r="H179" t="str">
            <v>VỐN CHỦ SỞ HỮU</v>
          </cell>
        </row>
        <row r="180">
          <cell r="G180" t="str">
            <v>41111</v>
          </cell>
          <cell r="H180" t="str">
            <v>Cổ phiếu phổ thông có quyền biểu quyết</v>
          </cell>
        </row>
        <row r="181">
          <cell r="G181" t="str">
            <v>41112</v>
          </cell>
          <cell r="H181" t="str">
            <v>Cổ phiếu ưu đãi</v>
          </cell>
        </row>
        <row r="182">
          <cell r="G182" t="str">
            <v>4112</v>
          </cell>
          <cell r="H182" t="str">
            <v>Thặng dư vốn cổ phần</v>
          </cell>
        </row>
        <row r="183">
          <cell r="G183" t="str">
            <v>4151</v>
          </cell>
          <cell r="H183" t="str">
            <v>Dự trữ pháp định</v>
          </cell>
        </row>
        <row r="184">
          <cell r="G184" t="str">
            <v>418</v>
          </cell>
          <cell r="H184" t="str">
            <v>Quỹ khác thuộc vốn chủ sở hữu</v>
          </cell>
        </row>
        <row r="185">
          <cell r="G185" t="str">
            <v>RR</v>
          </cell>
          <cell r="H185" t="str">
            <v>(IFRS) Revaluation reserve</v>
          </cell>
        </row>
        <row r="186">
          <cell r="G186" t="str">
            <v>4211</v>
          </cell>
          <cell r="H186" t="str">
            <v>Lợi nhuận sau thuế chưa phân phối năm trước</v>
          </cell>
        </row>
        <row r="187">
          <cell r="G187" t="str">
            <v>4212</v>
          </cell>
          <cell r="H187" t="str">
            <v>Lợi nhuận sau thuế chưa phân phối năm nay</v>
          </cell>
        </row>
        <row r="188">
          <cell r="G188" t="str">
            <v>NCI-BS</v>
          </cell>
          <cell r="H188" t="str">
            <v>Lợi ích cổ đông không kiểm soát-BS</v>
          </cell>
        </row>
        <row r="189">
          <cell r="G189"/>
          <cell r="H189"/>
        </row>
        <row r="190">
          <cell r="G190"/>
          <cell r="H190" t="str">
            <v>TỔNG NỢ PHẢI TRẢ VÀ VỐN CHỦ SỞ HỮU</v>
          </cell>
        </row>
        <row r="191">
          <cell r="G191"/>
          <cell r="H191"/>
        </row>
        <row r="192">
          <cell r="G192"/>
          <cell r="H192" t="str">
            <v>CHECK</v>
          </cell>
        </row>
        <row r="193">
          <cell r="G193"/>
          <cell r="H193"/>
        </row>
        <row r="194">
          <cell r="G194"/>
          <cell r="H194" t="str">
            <v>BÁO CÁO KẾT QUẢ HOẠT ĐỘNG KINH DOANH</v>
          </cell>
        </row>
        <row r="195">
          <cell r="G195"/>
          <cell r="H195"/>
        </row>
        <row r="196">
          <cell r="G196"/>
          <cell r="H196" t="str">
            <v>DOANH THU BÁN HÀNG VÀ CUNG CẤP DỊCH VỤ</v>
          </cell>
        </row>
        <row r="197">
          <cell r="G197" t="str">
            <v>5111</v>
          </cell>
          <cell r="H197" t="str">
            <v>Doanh thu bán vàng (CTC)</v>
          </cell>
        </row>
        <row r="198">
          <cell r="G198" t="str">
            <v>5113</v>
          </cell>
          <cell r="H198" t="str">
            <v>Doanh thu cung cấp dịch vụ</v>
          </cell>
        </row>
        <row r="199">
          <cell r="G199" t="str">
            <v>5113.01</v>
          </cell>
          <cell r="H199" t="str">
            <v>Doanh thu từ HĐ người dùng rút tiền đầu tư</v>
          </cell>
        </row>
        <row r="200">
          <cell r="G200" t="str">
            <v>5113.02</v>
          </cell>
          <cell r="H200" t="str">
            <v>Doanh thu từ HĐ người dùng rút tiền nhanh - Đầu tư</v>
          </cell>
        </row>
        <row r="201">
          <cell r="G201" t="str">
            <v>5113.03</v>
          </cell>
          <cell r="H201" t="str">
            <v>Doanh thu từ HĐ người dùng rút tiền nhanh - Tích lũy</v>
          </cell>
        </row>
        <row r="202">
          <cell r="G202" t="str">
            <v>5113.04</v>
          </cell>
          <cell r="H202" t="str">
            <v>Doanh thu từ giao dịch thu hộ bảo hiểm</v>
          </cell>
        </row>
        <row r="203">
          <cell r="G203" t="str">
            <v>5113.05</v>
          </cell>
          <cell r="H203" t="str">
            <v>Doanh thu từ phí bảo trì tài khoản</v>
          </cell>
        </row>
        <row r="204">
          <cell r="G204" t="str">
            <v>5113.06</v>
          </cell>
          <cell r="H204" t="str">
            <v>Doanh thu từ HĐ người dùng nạp tiền qua ví điện tử</v>
          </cell>
        </row>
        <row r="205">
          <cell r="G205" t="str">
            <v>5113.07</v>
          </cell>
          <cell r="H205" t="str">
            <v>Doanh thu từ phí xác thực số dư tài khoản</v>
          </cell>
        </row>
        <row r="206">
          <cell r="G206" t="str">
            <v>5113.08</v>
          </cell>
          <cell r="H206" t="str">
            <v>Doanh thu từ hợp tác kinh doanh với đối tác</v>
          </cell>
        </row>
        <row r="207">
          <cell r="G207" t="str">
            <v>5113.09</v>
          </cell>
          <cell r="H207" t="str">
            <v>Doanh thu từ HĐ người dùng rút tiền nhanh - TD3</v>
          </cell>
        </row>
        <row r="208">
          <cell r="G208" t="str">
            <v>5113.10</v>
          </cell>
          <cell r="H208" t="str">
            <v>Doanh thu từ giao dịch mua, bán vàng</v>
          </cell>
        </row>
        <row r="209">
          <cell r="G209" t="str">
            <v>5113.11</v>
          </cell>
          <cell r="H209" t="str">
            <v>Doanh thu từ hợp tác kinh doanh với đối tác - GD bảo hiểm</v>
          </cell>
        </row>
        <row r="210">
          <cell r="G210" t="str">
            <v>5113.12</v>
          </cell>
          <cell r="H210" t="str">
            <v>Doanh thu từ hợp tác kinh doanh với đối tác - Phí phân phối CCQ</v>
          </cell>
        </row>
        <row r="211">
          <cell r="G211" t="str">
            <v>5113.13</v>
          </cell>
          <cell r="H211" t="str">
            <v>Doanh thu từ hợp tác kinh doanh với đối tác - CIMB</v>
          </cell>
        </row>
        <row r="212">
          <cell r="G212" t="str">
            <v>5113.14</v>
          </cell>
          <cell r="H212" t="str">
            <v>Doanh thu từ hợp tác kinh doanh với đối tác - Dịch vụ tài chính khác (cross-sell partner)</v>
          </cell>
        </row>
        <row r="213">
          <cell r="G213" t="str">
            <v>5113.15</v>
          </cell>
          <cell r="H213" t="str">
            <v>Doanh thu từ hợp tác kinh doanh với đối tác - Khác</v>
          </cell>
        </row>
        <row r="214">
          <cell r="G214" t="str">
            <v>5113.16</v>
          </cell>
          <cell r="H214" t="str">
            <v>Doanh thu từ HĐ người dùng giao dịch chứng khoán</v>
          </cell>
        </row>
        <row r="215">
          <cell r="G215" t="str">
            <v>5113.17</v>
          </cell>
          <cell r="H215" t="str">
            <v>Doanh thu cung cấp và sử dụng dịch vụ phần mềm</v>
          </cell>
        </row>
        <row r="216">
          <cell r="G216" t="str">
            <v>5118</v>
          </cell>
          <cell r="H216" t="str">
            <v>Doanh thu khác</v>
          </cell>
        </row>
        <row r="217">
          <cell r="G217" t="str">
            <v>5118.01</v>
          </cell>
          <cell r="H217" t="str">
            <v>Doanh thu môi giới chứng khoán</v>
          </cell>
        </row>
        <row r="218">
          <cell r="G218" t="str">
            <v>5118.02</v>
          </cell>
          <cell r="H218" t="str">
            <v>Doanh thu lưu ký chứng khoán</v>
          </cell>
        </row>
        <row r="219">
          <cell r="G219"/>
          <cell r="H219"/>
        </row>
        <row r="220">
          <cell r="G220"/>
          <cell r="H220" t="str">
            <v>GIÁ VỐN HÀNG BÁN</v>
          </cell>
        </row>
        <row r="221">
          <cell r="G221" t="str">
            <v>6273</v>
          </cell>
          <cell r="H221" t="str">
            <v>Chi phí dụng cụ sản xuất</v>
          </cell>
        </row>
        <row r="222">
          <cell r="G222" t="str">
            <v>6274</v>
          </cell>
          <cell r="H222" t="str">
            <v>Chi phí khấu hao TSCĐ</v>
          </cell>
        </row>
        <row r="223">
          <cell r="G223" t="str">
            <v>6277.01</v>
          </cell>
          <cell r="H223" t="str">
            <v>Phí mua bán CCQ</v>
          </cell>
        </row>
        <row r="224">
          <cell r="G224" t="str">
            <v>6277.02</v>
          </cell>
          <cell r="H224" t="str">
            <v>Phí chuyển nhượng CK</v>
          </cell>
        </row>
        <row r="225">
          <cell r="G225" t="str">
            <v>6277.03</v>
          </cell>
          <cell r="H225" t="str">
            <v>Phí lưu ký</v>
          </cell>
        </row>
        <row r="226">
          <cell r="G226" t="str">
            <v>6277.04</v>
          </cell>
          <cell r="H226" t="str">
            <v>Phí xác thực số dư</v>
          </cell>
        </row>
        <row r="227">
          <cell r="G227" t="str">
            <v>6277.05</v>
          </cell>
          <cell r="H227" t="str">
            <v>Phí tên miền</v>
          </cell>
        </row>
        <row r="228">
          <cell r="G228" t="str">
            <v>6277.06</v>
          </cell>
          <cell r="H228" t="str">
            <v>Phí ứng dụng thiết kế</v>
          </cell>
        </row>
        <row r="229">
          <cell r="G229" t="str">
            <v>6277.07</v>
          </cell>
          <cell r="H229" t="str">
            <v>Phí dữ liệu</v>
          </cell>
        </row>
        <row r="230">
          <cell r="G230" t="str">
            <v>6277.09</v>
          </cell>
          <cell r="H230" t="str">
            <v>Chi phí internet</v>
          </cell>
        </row>
        <row r="231">
          <cell r="G231" t="str">
            <v>6277.10</v>
          </cell>
          <cell r="H231" t="str">
            <v>Chi phí thuê văn phòng</v>
          </cell>
        </row>
        <row r="232">
          <cell r="G232" t="str">
            <v>6277.11</v>
          </cell>
          <cell r="H232" t="str">
            <v>Chi phí nâng cấp văn phòng</v>
          </cell>
        </row>
        <row r="233">
          <cell r="G233" t="str">
            <v>6277.12</v>
          </cell>
          <cell r="H233" t="str">
            <v>Chi phí thông tin liên lạc khác</v>
          </cell>
        </row>
        <row r="234">
          <cell r="G234" t="str">
            <v>6277.13</v>
          </cell>
          <cell r="H234" t="str">
            <v>Chi phí quản lý danh mục đầu tư</v>
          </cell>
        </row>
        <row r="235">
          <cell r="G235" t="str">
            <v>6277.14</v>
          </cell>
          <cell r="H235" t="str">
            <v>Chi phí thu hộ qua ví điện tử &amp; trung gian thanh toán</v>
          </cell>
        </row>
        <row r="236">
          <cell r="G236" t="str">
            <v>6277.15</v>
          </cell>
          <cell r="H236" t="str">
            <v>Chi phí chi hộ</v>
          </cell>
        </row>
        <row r="237">
          <cell r="G237" t="str">
            <v>6277.16</v>
          </cell>
          <cell r="H237" t="str">
            <v>Chi phí hỗ trợ phát hành thẻ CIMB-Finhay</v>
          </cell>
        </row>
        <row r="238">
          <cell r="G238" t="str">
            <v>6277.17</v>
          </cell>
          <cell r="H238" t="str">
            <v>Chi phí cho hệ thống dữ liệu</v>
          </cell>
        </row>
        <row r="239">
          <cell r="G239" t="str">
            <v>6277.18</v>
          </cell>
          <cell r="H239" t="str">
            <v>Chi phí tư vấn đầu tư</v>
          </cell>
        </row>
        <row r="240">
          <cell r="G240" t="str">
            <v>6278</v>
          </cell>
          <cell r="H240" t="str">
            <v>Chi phí bằng tiền khác</v>
          </cell>
        </row>
        <row r="241">
          <cell r="G241" t="str">
            <v>632.TDNB</v>
          </cell>
          <cell r="H241" t="str">
            <v>Chi phí tiêu dùng nội bộ</v>
          </cell>
        </row>
        <row r="242">
          <cell r="G242" t="str">
            <v>632</v>
          </cell>
          <cell r="H242" t="str">
            <v>Giá vốn hàng bán</v>
          </cell>
        </row>
        <row r="243">
          <cell r="G243" t="str">
            <v>6331</v>
          </cell>
          <cell r="H243" t="str">
            <v>Chi phí môi giới chứng khoán</v>
          </cell>
        </row>
        <row r="244">
          <cell r="G244" t="str">
            <v>6332</v>
          </cell>
          <cell r="H244" t="str">
            <v>Chi phí lưu ký chứng khoán</v>
          </cell>
        </row>
        <row r="245">
          <cell r="G245"/>
          <cell r="H245"/>
        </row>
        <row r="246">
          <cell r="G246"/>
          <cell r="H246" t="str">
            <v>DOANH THU HOẠT ĐỘNG TÀI CHÍNH</v>
          </cell>
        </row>
        <row r="247">
          <cell r="G247" t="str">
            <v>5151</v>
          </cell>
          <cell r="H247" t="str">
            <v>Doanh thu tài chính: Lãi đã nhận</v>
          </cell>
        </row>
        <row r="248">
          <cell r="G248" t="str">
            <v>5151.01</v>
          </cell>
          <cell r="H248" t="str">
            <v>(IFRS) Doanh thu lãi tiền gửi</v>
          </cell>
        </row>
        <row r="249">
          <cell r="G249" t="str">
            <v>5151.02</v>
          </cell>
          <cell r="H249" t="str">
            <v>(IFRS) Doanh thu lãi tài sản FVTOCI</v>
          </cell>
        </row>
        <row r="250">
          <cell r="G250" t="str">
            <v>5152</v>
          </cell>
          <cell r="H250" t="str">
            <v>Doanh thu tài chính: Lãi dự thu</v>
          </cell>
        </row>
        <row r="251">
          <cell r="G251" t="str">
            <v>5155</v>
          </cell>
          <cell r="H251" t="str">
            <v>Chênh lệch lãi tỷ giá hối đoái đã thực hiện</v>
          </cell>
        </row>
        <row r="252">
          <cell r="G252" t="str">
            <v>5153.01</v>
          </cell>
          <cell r="H252" t="str">
            <v>Lãi từ việc mua bán tài sản - CCQ</v>
          </cell>
        </row>
        <row r="253">
          <cell r="G253" t="str">
            <v>5153.02</v>
          </cell>
          <cell r="H253" t="str">
            <v>Lãi từ việc mua bán tài sản - FI</v>
          </cell>
        </row>
        <row r="254">
          <cell r="G254" t="str">
            <v>5153.03</v>
          </cell>
          <cell r="H254" t="str">
            <v>Lãi từ việc mua bán tài sản - CK</v>
          </cell>
        </row>
        <row r="255">
          <cell r="G255" t="str">
            <v>5154.01</v>
          </cell>
          <cell r="H255" t="str">
            <v>(IFRS) Lãi từ việc đánh giá lại financial liabilities at PL</v>
          </cell>
        </row>
        <row r="256">
          <cell r="G256" t="str">
            <v>5158</v>
          </cell>
          <cell r="H256" t="str">
            <v>Doanh thu hoạt động tài chính: Chênh lệch tỷ giá</v>
          </cell>
        </row>
        <row r="257">
          <cell r="G257" t="str">
            <v>5154</v>
          </cell>
          <cell r="H257" t="str">
            <v>(IFRS) Lãi từ đánh giá lại financial assets at PL</v>
          </cell>
        </row>
        <row r="258">
          <cell r="G258" t="str">
            <v>5156</v>
          </cell>
          <cell r="H258" t="str">
            <v>Lãi cho vay + lãi cho vay margin</v>
          </cell>
        </row>
        <row r="259">
          <cell r="G259" t="str">
            <v>5157</v>
          </cell>
          <cell r="H259" t="str">
            <v>Doanh thu tài chính: Lãi cổ tức</v>
          </cell>
        </row>
        <row r="260">
          <cell r="G260" t="str">
            <v>5159</v>
          </cell>
          <cell r="H260" t="str">
            <v>(IFRS) Lãi đánh giá lại vàng</v>
          </cell>
        </row>
        <row r="261">
          <cell r="G261" t="str">
            <v>5154.02</v>
          </cell>
          <cell r="H261" t="str">
            <v>Chênh lệch đánh giá tăng FVTPL của VNSC (Revert đầu gốc nếu có phát sinh)</v>
          </cell>
        </row>
        <row r="262">
          <cell r="G262"/>
          <cell r="H262"/>
        </row>
        <row r="263">
          <cell r="G263"/>
          <cell r="H263" t="str">
            <v>CHI PHÍ HOẠT ĐỘNG TÀI CHÍNH</v>
          </cell>
        </row>
        <row r="264">
          <cell r="G264" t="str">
            <v>635</v>
          </cell>
          <cell r="H264" t="str">
            <v>Chi phí tài chính</v>
          </cell>
        </row>
        <row r="265">
          <cell r="G265" t="str">
            <v>6351</v>
          </cell>
          <cell r="H265" t="str">
            <v>Chi phí tài chính: trả lãi cho người dùng</v>
          </cell>
        </row>
        <row r="266">
          <cell r="G266" t="str">
            <v>6352</v>
          </cell>
          <cell r="H266" t="str">
            <v>Chi phí tài chính: dự trả lãi cho người dùng</v>
          </cell>
        </row>
        <row r="267">
          <cell r="G267" t="str">
            <v>6353.01</v>
          </cell>
          <cell r="H267" t="str">
            <v>Lỗ từ việc mua bán tài sản-CCQ,CK</v>
          </cell>
        </row>
        <row r="268">
          <cell r="G268" t="str">
            <v>6353.02</v>
          </cell>
          <cell r="H268" t="str">
            <v>Lỗ từ việc mua bán tài sản-FI</v>
          </cell>
        </row>
        <row r="269">
          <cell r="G269" t="str">
            <v>6353.03</v>
          </cell>
          <cell r="H269" t="str">
            <v>Lỗ từ việc mua bán tài sản-CK</v>
          </cell>
        </row>
        <row r="270">
          <cell r="G270" t="str">
            <v>6354.01</v>
          </cell>
          <cell r="H270" t="str">
            <v>(IFRS) Lỗ từ việc đánh giá Financial liabilities at PL</v>
          </cell>
        </row>
        <row r="271">
          <cell r="G271" t="str">
            <v>6354.04</v>
          </cell>
          <cell r="H271" t="str">
            <v>Chi phí môi giới và tư vấn đầu tư chứng khoán (VNSC)</v>
          </cell>
        </row>
        <row r="272">
          <cell r="G272" t="str">
            <v>6354</v>
          </cell>
          <cell r="H272" t="str">
            <v>Chi phí dự phòng tổn thất chứng khoán kinh doanh</v>
          </cell>
        </row>
        <row r="273">
          <cell r="G273" t="str">
            <v>6355</v>
          </cell>
          <cell r="H273" t="str">
            <v>Lỗ từ dự phòng giảm giá các khoản đầu tư vào công ty con/công ty liên doanh</v>
          </cell>
        </row>
        <row r="274">
          <cell r="G274" t="str">
            <v>6356</v>
          </cell>
          <cell r="H274" t="str">
            <v>Lãi vay</v>
          </cell>
        </row>
        <row r="275">
          <cell r="G275" t="str">
            <v>6356.01</v>
          </cell>
          <cell r="H275" t="str">
            <v>Lãi vay công ty</v>
          </cell>
        </row>
        <row r="276">
          <cell r="G276" t="str">
            <v>6356.02</v>
          </cell>
          <cell r="H276" t="str">
            <v>Lãi vay trả cho người dùng Saving</v>
          </cell>
        </row>
        <row r="277">
          <cell r="G277" t="str">
            <v>6356.03</v>
          </cell>
          <cell r="H277" t="str">
            <v>Lãi vay dự  trả cho người dùng Saving</v>
          </cell>
        </row>
        <row r="278">
          <cell r="G278" t="str">
            <v>6357</v>
          </cell>
          <cell r="H278" t="str">
            <v>Chi phí tài chính: Phí ứng tiền</v>
          </cell>
        </row>
        <row r="279">
          <cell r="G279" t="str">
            <v>6358</v>
          </cell>
          <cell r="H279" t="str">
            <v>Chi phí tài chính: Chênh lệch tỷ giá</v>
          </cell>
        </row>
        <row r="280">
          <cell r="G280" t="str">
            <v>6358.01</v>
          </cell>
          <cell r="H280" t="str">
            <v>Chi phí tài chính khác</v>
          </cell>
        </row>
        <row r="281">
          <cell r="G281" t="str">
            <v>6355.01</v>
          </cell>
          <cell r="H281" t="str">
            <v>Chi phí dự phòng tổn thất chứng khoán kinh doanh</v>
          </cell>
        </row>
        <row r="282">
          <cell r="G282" t="str">
            <v>6358.02</v>
          </cell>
          <cell r="H282" t="str">
            <v>Chênh lệch đánh giá giảm FVTPL của VNSC (Revert đầu gốc nếu có phát sinh)</v>
          </cell>
        </row>
        <row r="283">
          <cell r="G283" t="str">
            <v>6359</v>
          </cell>
          <cell r="H283" t="str">
            <v>(IFRS) Chi phí thuê tài sản tài chính</v>
          </cell>
        </row>
        <row r="284">
          <cell r="G284"/>
          <cell r="H284"/>
        </row>
        <row r="285">
          <cell r="G285"/>
          <cell r="H285" t="str">
            <v>CHI PHÍ BÁN HÀNG</v>
          </cell>
        </row>
        <row r="286">
          <cell r="G286" t="str">
            <v>6411.01</v>
          </cell>
          <cell r="H286" t="str">
            <v>Chi phí lương thưởng</v>
          </cell>
        </row>
        <row r="287">
          <cell r="G287" t="str">
            <v>6411.02</v>
          </cell>
          <cell r="H287" t="str">
            <v>Các khoản trích nộp bảo hiểm</v>
          </cell>
        </row>
        <row r="288">
          <cell r="G288" t="str">
            <v>6411.03</v>
          </cell>
          <cell r="H288" t="str">
            <v>Chi phí phúc lợi khác</v>
          </cell>
        </row>
        <row r="289">
          <cell r="G289" t="str">
            <v>64111</v>
          </cell>
          <cell r="H289" t="str">
            <v>Lương thưởng</v>
          </cell>
        </row>
        <row r="290">
          <cell r="G290" t="str">
            <v>64112</v>
          </cell>
          <cell r="H290" t="str">
            <v>Các khoản trích lập theo quy định</v>
          </cell>
        </row>
        <row r="291">
          <cell r="G291" t="str">
            <v>64113</v>
          </cell>
          <cell r="H291" t="str">
            <v>Các khoản phúc lợi khác</v>
          </cell>
        </row>
        <row r="292">
          <cell r="G292" t="str">
            <v>6413</v>
          </cell>
          <cell r="H292" t="str">
            <v>Chi phí dụng cụ, đồ dùng</v>
          </cell>
        </row>
        <row r="293">
          <cell r="G293" t="str">
            <v>6414</v>
          </cell>
          <cell r="H293" t="str">
            <v>Chi phí khấu hao TSCĐ</v>
          </cell>
        </row>
        <row r="294">
          <cell r="G294" t="str">
            <v>6417.01</v>
          </cell>
          <cell r="H294" t="str">
            <v>Chi phí thuê văn phòng</v>
          </cell>
        </row>
        <row r="295">
          <cell r="G295" t="str">
            <v>6417.02</v>
          </cell>
          <cell r="H295" t="str">
            <v>Phí quảng cáo</v>
          </cell>
        </row>
        <row r="296">
          <cell r="G296" t="str">
            <v>6417.03</v>
          </cell>
          <cell r="H296" t="str">
            <v>Chi phí branding</v>
          </cell>
        </row>
        <row r="297">
          <cell r="G297" t="str">
            <v>6417.04</v>
          </cell>
          <cell r="H297" t="str">
            <v>Phí internet</v>
          </cell>
        </row>
        <row r="298">
          <cell r="G298" t="str">
            <v>6417.05</v>
          </cell>
          <cell r="H298" t="str">
            <v>Điện thoại &amp; Fax</v>
          </cell>
        </row>
        <row r="299">
          <cell r="G299" t="str">
            <v>6417.06</v>
          </cell>
          <cell r="H299" t="str">
            <v>Phí tên miền</v>
          </cell>
        </row>
        <row r="300">
          <cell r="G300" t="str">
            <v>6417.07</v>
          </cell>
          <cell r="H300" t="str">
            <v>Thông tin liên lạc khác</v>
          </cell>
        </row>
        <row r="301">
          <cell r="G301" t="str">
            <v>6417.08</v>
          </cell>
          <cell r="H301" t="str">
            <v>Chuyển phát nhanh</v>
          </cell>
        </row>
        <row r="302">
          <cell r="G302" t="str">
            <v>6417.09</v>
          </cell>
          <cell r="H302" t="str">
            <v>Chi phí sự kiện bên ngoài</v>
          </cell>
        </row>
        <row r="303">
          <cell r="G303" t="str">
            <v>6417.11</v>
          </cell>
          <cell r="H303" t="str">
            <v>Cải tạo &amp; nâng cấp văn phòng</v>
          </cell>
        </row>
        <row r="304">
          <cell r="G304" t="str">
            <v>6417.12</v>
          </cell>
          <cell r="H304" t="str">
            <v>Chi phí dịch vụ mua ngoài khác</v>
          </cell>
        </row>
        <row r="305">
          <cell r="G305" t="str">
            <v>6417.13</v>
          </cell>
          <cell r="H305" t="str">
            <v>Công tác_Vé máy bay</v>
          </cell>
        </row>
        <row r="306">
          <cell r="G306" t="str">
            <v>6417.14</v>
          </cell>
          <cell r="H306" t="str">
            <v>Công tác_Tiền lưu trú</v>
          </cell>
        </row>
        <row r="307">
          <cell r="G307" t="str">
            <v>6417.15</v>
          </cell>
          <cell r="H307" t="str">
            <v>Công tác_Ăn uống</v>
          </cell>
        </row>
        <row r="308">
          <cell r="G308" t="str">
            <v>6417.16</v>
          </cell>
          <cell r="H308" t="str">
            <v>Công tác_Tiền đi lại</v>
          </cell>
        </row>
        <row r="309">
          <cell r="G309" t="str">
            <v>6417.17</v>
          </cell>
          <cell r="H309" t="str">
            <v>Công tác_Chi phí khác</v>
          </cell>
        </row>
        <row r="310">
          <cell r="G310" t="str">
            <v>6418</v>
          </cell>
          <cell r="H310" t="str">
            <v>Chi phì bằng tiền khác</v>
          </cell>
        </row>
        <row r="311">
          <cell r="G311" t="str">
            <v>6418.01</v>
          </cell>
          <cell r="H311" t="str">
            <v>Thưởng người dùng</v>
          </cell>
        </row>
        <row r="312">
          <cell r="G312" t="str">
            <v>6418.02</v>
          </cell>
          <cell r="H312" t="str">
            <v>Quà tặng khách hàng</v>
          </cell>
        </row>
        <row r="313">
          <cell r="G313" t="str">
            <v>6418.03</v>
          </cell>
          <cell r="H313" t="str">
            <v>Chi phí bằng tiền khác</v>
          </cell>
        </row>
        <row r="314">
          <cell r="G314" t="str">
            <v>6418.04</v>
          </cell>
          <cell r="H314" t="str">
            <v>Ăn uống, tiếp khách</v>
          </cell>
        </row>
        <row r="315">
          <cell r="G315"/>
          <cell r="H315"/>
        </row>
        <row r="316">
          <cell r="G316"/>
          <cell r="H316" t="str">
            <v>CHI PHÍ QUẢN LÝ DOANH NGHIỆP</v>
          </cell>
        </row>
        <row r="317">
          <cell r="G317" t="str">
            <v>6421.01</v>
          </cell>
          <cell r="H317" t="str">
            <v>Chi phí lương thưởng</v>
          </cell>
        </row>
        <row r="318">
          <cell r="G318" t="str">
            <v>6421.02</v>
          </cell>
          <cell r="H318" t="str">
            <v>Các khoản trích nộp bảo hiểm</v>
          </cell>
        </row>
        <row r="319">
          <cell r="G319" t="str">
            <v>6421.03</v>
          </cell>
          <cell r="H319" t="str">
            <v>Phúc lợi khác</v>
          </cell>
        </row>
        <row r="320">
          <cell r="G320" t="str">
            <v>64211</v>
          </cell>
          <cell r="H320" t="str">
            <v>Chi phí lương thưởng</v>
          </cell>
        </row>
        <row r="321">
          <cell r="G321" t="str">
            <v>64212</v>
          </cell>
          <cell r="H321" t="str">
            <v>Các khoản trích lập theo quy định</v>
          </cell>
        </row>
        <row r="322">
          <cell r="G322" t="str">
            <v>64213</v>
          </cell>
          <cell r="H322" t="str">
            <v>Phúc lợi khác</v>
          </cell>
        </row>
        <row r="323">
          <cell r="G323" t="str">
            <v>6422</v>
          </cell>
          <cell r="H323" t="str">
            <v>Chi phí vật liệu quản lý</v>
          </cell>
        </row>
        <row r="324">
          <cell r="G324" t="str">
            <v>6423</v>
          </cell>
          <cell r="H324" t="str">
            <v>Chi phí đồ dùng văn phòng</v>
          </cell>
        </row>
        <row r="325">
          <cell r="G325" t="str">
            <v>6424</v>
          </cell>
          <cell r="H325" t="str">
            <v>Chi phí khấu hao TSCĐ</v>
          </cell>
        </row>
        <row r="326">
          <cell r="G326" t="str">
            <v>6424-GW</v>
          </cell>
          <cell r="H326" t="str">
            <v>Chi phí phân bổ lợi thế thương mại</v>
          </cell>
        </row>
        <row r="327">
          <cell r="G327" t="str">
            <v>6425</v>
          </cell>
          <cell r="H327" t="str">
            <v>Thuế, phí và lệ phí</v>
          </cell>
        </row>
        <row r="328">
          <cell r="G328" t="str">
            <v>6426</v>
          </cell>
          <cell r="H328" t="str">
            <v>Trích lập dự phòng</v>
          </cell>
        </row>
        <row r="329">
          <cell r="G329" t="str">
            <v>6427.01</v>
          </cell>
          <cell r="H329" t="str">
            <v>Phí dịch vụ dữ liệu và ứng dụng cho văn phòng</v>
          </cell>
        </row>
        <row r="330">
          <cell r="G330" t="str">
            <v>6427.02</v>
          </cell>
          <cell r="H330" t="str">
            <v>Phí đi lại</v>
          </cell>
        </row>
        <row r="331">
          <cell r="G331" t="str">
            <v>6427.03</v>
          </cell>
          <cell r="H331" t="str">
            <v>Phí chuyển phát</v>
          </cell>
        </row>
        <row r="332">
          <cell r="G332" t="str">
            <v>6427.04</v>
          </cell>
          <cell r="H332" t="str">
            <v>Phí ngân hàng</v>
          </cell>
        </row>
        <row r="333">
          <cell r="G333" t="str">
            <v>6427.05</v>
          </cell>
          <cell r="H333" t="str">
            <v>Công tác_Tiền vé máy bay</v>
          </cell>
        </row>
        <row r="334">
          <cell r="G334" t="str">
            <v>6427.06</v>
          </cell>
          <cell r="H334" t="str">
            <v>Công tác_Tiền lưu trú</v>
          </cell>
        </row>
        <row r="335">
          <cell r="G335" t="str">
            <v>6427.07</v>
          </cell>
          <cell r="H335" t="str">
            <v>Công tác_Ăn uống</v>
          </cell>
        </row>
        <row r="336">
          <cell r="G336" t="str">
            <v>6427.08</v>
          </cell>
          <cell r="H336" t="str">
            <v>Công tác_Tiền đi lại</v>
          </cell>
        </row>
        <row r="337">
          <cell r="G337" t="str">
            <v>6427.09</v>
          </cell>
          <cell r="H337" t="str">
            <v>Công tác_Chi phí khác</v>
          </cell>
        </row>
        <row r="338">
          <cell r="G338" t="str">
            <v>6427.10</v>
          </cell>
          <cell r="H338" t="str">
            <v>Phí tư vấn kế toán</v>
          </cell>
        </row>
        <row r="339">
          <cell r="G339" t="str">
            <v>6427.11</v>
          </cell>
          <cell r="H339" t="str">
            <v>Phí hỗ trợ kiểm soát gd bank</v>
          </cell>
        </row>
        <row r="340">
          <cell r="G340" t="str">
            <v>6427.12</v>
          </cell>
          <cell r="H340" t="str">
            <v>Phí kiểm toán</v>
          </cell>
        </row>
        <row r="341">
          <cell r="G341" t="str">
            <v>6427.13</v>
          </cell>
          <cell r="H341" t="str">
            <v>Phí chuyển nhượng CK</v>
          </cell>
        </row>
        <row r="342">
          <cell r="G342" t="str">
            <v>6427.14</v>
          </cell>
          <cell r="H342" t="str">
            <v>Văn phòng phẩm</v>
          </cell>
        </row>
        <row r="343">
          <cell r="G343" t="str">
            <v>6427.15</v>
          </cell>
          <cell r="H343" t="str">
            <v>Chi phí điện nước</v>
          </cell>
        </row>
        <row r="344">
          <cell r="G344" t="str">
            <v>6427.16</v>
          </cell>
          <cell r="H344" t="str">
            <v>Chi phí gửi xe</v>
          </cell>
        </row>
        <row r="345">
          <cell r="G345" t="str">
            <v>6427.17</v>
          </cell>
          <cell r="H345" t="str">
            <v>Phí công chứng dịch thuật</v>
          </cell>
        </row>
        <row r="346">
          <cell r="G346" t="str">
            <v>6427.18</v>
          </cell>
          <cell r="H346" t="str">
            <v>Phí dọn vệ sinh</v>
          </cell>
        </row>
        <row r="347">
          <cell r="G347" t="str">
            <v>6427.19</v>
          </cell>
          <cell r="H347" t="str">
            <v>Chi phí dịch vụ mua ngoài khác</v>
          </cell>
        </row>
        <row r="348">
          <cell r="G348" t="str">
            <v>6427.20</v>
          </cell>
          <cell r="H348" t="str">
            <v>Chi phí đào tạo</v>
          </cell>
        </row>
        <row r="349">
          <cell r="G349" t="str">
            <v>6427.21</v>
          </cell>
          <cell r="H349" t="str">
            <v>Chi phí thuê văn phòng</v>
          </cell>
        </row>
        <row r="350">
          <cell r="G350" t="str">
            <v>6427.22</v>
          </cell>
          <cell r="H350" t="str">
            <v>Chi phí cải tạo &amp; nâng cấp văn phòng</v>
          </cell>
        </row>
        <row r="351">
          <cell r="G351" t="str">
            <v>6427.23</v>
          </cell>
          <cell r="H351" t="str">
            <v>Chi phí bảo hiểm cho nhân viên</v>
          </cell>
        </row>
        <row r="352">
          <cell r="G352" t="str">
            <v>6427.24</v>
          </cell>
          <cell r="H352" t="str">
            <v>Chi phí tuyển dụng</v>
          </cell>
        </row>
        <row r="353">
          <cell r="G353" t="str">
            <v>6427.25</v>
          </cell>
          <cell r="H353" t="str">
            <v>Chi phí test COVID</v>
          </cell>
        </row>
        <row r="354">
          <cell r="G354" t="str">
            <v>6427.26</v>
          </cell>
          <cell r="H354" t="str">
            <v>Điện thoại &amp; Fax</v>
          </cell>
        </row>
        <row r="355">
          <cell r="G355" t="str">
            <v>6427.27</v>
          </cell>
          <cell r="H355" t="str">
            <v>Phí bảo hiểm tài sản cố định</v>
          </cell>
        </row>
        <row r="356">
          <cell r="G356" t="str">
            <v>6427.28</v>
          </cell>
          <cell r="H356" t="str">
            <v>Dịch vụ tư vấn pháp lý</v>
          </cell>
        </row>
        <row r="357">
          <cell r="G357" t="str">
            <v>6427.TDNB</v>
          </cell>
          <cell r="H357" t="str">
            <v>Chi phí tiêu dùng nội bộ từ vàng và dịch vụ phần mềm</v>
          </cell>
        </row>
        <row r="358">
          <cell r="G358" t="str">
            <v>6428</v>
          </cell>
          <cell r="H358" t="str">
            <v>Chi phí bằng tiền khác</v>
          </cell>
        </row>
        <row r="359">
          <cell r="G359" t="str">
            <v>6428.01</v>
          </cell>
          <cell r="H359" t="str">
            <v>Ăn uống, tiếp khách</v>
          </cell>
        </row>
        <row r="360">
          <cell r="G360" t="str">
            <v>6428.02</v>
          </cell>
          <cell r="H360" t="str">
            <v>Chi phí bằng tiền khác</v>
          </cell>
        </row>
        <row r="361">
          <cell r="G361" t="str">
            <v>6428.03</v>
          </cell>
          <cell r="H361" t="str">
            <v>Chia sẻ chi phí tin nhắn CIMB</v>
          </cell>
        </row>
        <row r="362">
          <cell r="G362" t="str">
            <v>6429</v>
          </cell>
          <cell r="H362" t="str">
            <v>Chi phí bằng tiền chưa có hóa đơn</v>
          </cell>
        </row>
        <row r="363">
          <cell r="G363"/>
          <cell r="H363"/>
        </row>
        <row r="364">
          <cell r="G364"/>
          <cell r="H364" t="str">
            <v>THU NHẬP KHÁC VÀ CHI PHÍ KHÁC</v>
          </cell>
        </row>
        <row r="365">
          <cell r="G365" t="str">
            <v>711</v>
          </cell>
          <cell r="H365" t="str">
            <v>Doanh thu khác</v>
          </cell>
        </row>
        <row r="366">
          <cell r="G366" t="str">
            <v>811</v>
          </cell>
          <cell r="H366" t="str">
            <v>Chi phí khác</v>
          </cell>
        </row>
        <row r="367">
          <cell r="G367"/>
          <cell r="H367"/>
        </row>
        <row r="368">
          <cell r="G368" t="str">
            <v>8212</v>
          </cell>
          <cell r="H368" t="str">
            <v>Chi phí thuế TNDN hoãn lại - Đánh giá lại TSTC</v>
          </cell>
        </row>
        <row r="369">
          <cell r="G369"/>
          <cell r="H369"/>
        </row>
        <row r="370">
          <cell r="G370" t="str">
            <v>NCI-PL</v>
          </cell>
          <cell r="H370" t="str">
            <v>Lợi ích cổ đông không kiểm soát-PL</v>
          </cell>
        </row>
        <row r="371">
          <cell r="G371"/>
          <cell r="H371"/>
        </row>
        <row r="372">
          <cell r="G372"/>
          <cell r="H372" t="str">
            <v>(IFRS) CREDIT LOSS EXPENSE ON FINANCIAL ASSETS</v>
          </cell>
        </row>
        <row r="373">
          <cell r="G373" t="str">
            <v>ECL-PL</v>
          </cell>
          <cell r="H373" t="str">
            <v>(IFRS) Credit loss expense on financial assets</v>
          </cell>
        </row>
        <row r="374">
          <cell r="G374"/>
          <cell r="H374"/>
        </row>
        <row r="375">
          <cell r="G375" t="str">
            <v>DTI</v>
          </cell>
          <cell r="H375" t="str">
            <v>(IFRS) Chi phí thuế TNDN hoãn lại</v>
          </cell>
        </row>
        <row r="376">
          <cell r="G376"/>
          <cell r="H376"/>
        </row>
        <row r="377">
          <cell r="G377"/>
          <cell r="H377" t="str">
            <v>(IFRS) OTHER COMPREHENSIVE INCOME</v>
          </cell>
        </row>
        <row r="378">
          <cell r="G378" t="str">
            <v>OCI2</v>
          </cell>
          <cell r="H378" t="str">
            <v>(IFRS) Net change in fair value during the year</v>
          </cell>
        </row>
        <row r="379">
          <cell r="G379" t="str">
            <v>OCI2.1</v>
          </cell>
          <cell r="H379" t="str">
            <v>(IIFRS) Allowance for ECL</v>
          </cell>
        </row>
        <row r="380">
          <cell r="G380" t="str">
            <v>OCI3</v>
          </cell>
          <cell r="H380" t="str">
            <v>(IFRS) Income tax related</v>
          </cell>
        </row>
        <row r="381">
          <cell r="G381"/>
          <cell r="H381"/>
        </row>
        <row r="382">
          <cell r="G382"/>
          <cell r="H382" t="str">
            <v>TỔNG LỢI NHUẬN KẾ TOÁN TRƯỚC THUẾ</v>
          </cell>
        </row>
        <row r="384">
          <cell r="H384" t="str">
            <v>CHECK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Hoang Nguyen" id="{2EE7E8C7-E6E4-49FD-88FB-B9188C81BF0C}" userId="S::Hoang.Nguyen1@vn.ey.com::4a270b74-bcb1-4f11-bb6e-610d4119abcc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5-15T12:03:33.48" personId="{2EE7E8C7-E6E4-49FD-88FB-B9188C81BF0C}" id="{E2A5EE51-884F-4D66-A106-D48152CC08DD}">
    <text>Listed</text>
  </threadedComment>
  <threadedComment ref="I1" dT="2024-05-15T12:03:42.99" personId="{2EE7E8C7-E6E4-49FD-88FB-B9188C81BF0C}" id="{D74D2702-469D-490F-8970-09A198958ED6}">
    <text>Unlisted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68" dT="2024-03-27T14:13:51.66" personId="{2EE7E8C7-E6E4-49FD-88FB-B9188C81BF0C}" id="{F1B6F5F1-903A-4351-BE3C-811A69B1A08D}">
    <text>Misa code</text>
  </threadedComment>
  <threadedComment ref="G373" dT="2024-03-27T15:05:47.22" personId="{2EE7E8C7-E6E4-49FD-88FB-B9188C81BF0C}" id="{859765EC-97F1-4092-967E-F13CCB271B7E}">
    <text>Nằm tại VNSC, đã được loại ra trước khi lên listing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BCB1-0ABA-409A-9402-0DC7DC25BFA8}">
  <sheetPr codeName="Sheet1"/>
  <dimension ref="A1:M31"/>
  <sheetViews>
    <sheetView topLeftCell="D1" workbookViewId="0">
      <selection activeCell="M14" sqref="M14"/>
    </sheetView>
  </sheetViews>
  <sheetFormatPr defaultColWidth="8.81640625" defaultRowHeight="14.5"/>
  <cols>
    <col min="1" max="1" width="17.81640625" bestFit="1" customWidth="1"/>
    <col min="2" max="2" width="18" bestFit="1" customWidth="1"/>
    <col min="3" max="3" width="18" customWidth="1"/>
    <col min="4" max="4" width="11.54296875" bestFit="1" customWidth="1"/>
    <col min="5" max="5" width="19" bestFit="1" customWidth="1"/>
    <col min="6" max="6" width="14.453125" bestFit="1" customWidth="1"/>
    <col min="7" max="7" width="18" bestFit="1" customWidth="1"/>
    <col min="9" max="10" width="10.81640625" bestFit="1" customWidth="1"/>
    <col min="11" max="11" width="13.1796875" customWidth="1"/>
    <col min="12" max="12" width="12.54296875" customWidth="1"/>
    <col min="13" max="13" width="18" bestFit="1" customWidth="1"/>
  </cols>
  <sheetData>
    <row r="1" spans="1:13">
      <c r="L1" s="13">
        <v>45291</v>
      </c>
      <c r="M1" s="11">
        <f>SUBTOTAL(109,M3:M14)</f>
        <v>16052027789.968493</v>
      </c>
    </row>
    <row r="2" spans="1:13" s="1" customFormat="1" ht="29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t="s">
        <v>13</v>
      </c>
      <c r="B3" s="3" t="s">
        <v>13</v>
      </c>
      <c r="C3" s="3" t="s">
        <v>14</v>
      </c>
      <c r="D3" s="11">
        <v>125000</v>
      </c>
      <c r="E3" s="11">
        <f>SUMIFS('121'!E:E,'121'!B:B,'Accrued interest'!B3)</f>
        <v>12500000000</v>
      </c>
      <c r="F3" s="11">
        <v>100000</v>
      </c>
      <c r="G3" s="11">
        <f t="shared" ref="G3:G12" si="0">D3*F3</f>
        <v>12500000000</v>
      </c>
      <c r="H3" s="12">
        <v>0.105</v>
      </c>
      <c r="I3" s="13">
        <v>44484</v>
      </c>
      <c r="J3" s="13">
        <v>45580</v>
      </c>
      <c r="K3" t="s">
        <v>15</v>
      </c>
      <c r="L3" s="13">
        <v>44849</v>
      </c>
      <c r="M3" s="11">
        <f>G3*H3*($L$1-L3+1)/365</f>
        <v>1592979452.0547945</v>
      </c>
    </row>
    <row r="4" spans="1:13">
      <c r="A4" t="s">
        <v>16</v>
      </c>
      <c r="B4" s="3" t="s">
        <v>16</v>
      </c>
      <c r="C4" s="3" t="s">
        <v>14</v>
      </c>
      <c r="D4" s="11">
        <v>1000000</v>
      </c>
      <c r="E4" s="11">
        <f>SUMIFS('121'!E:E,'121'!B:B,'Accrued interest'!B4)</f>
        <v>100860500000</v>
      </c>
      <c r="F4" s="11">
        <v>100000</v>
      </c>
      <c r="G4" s="11">
        <f t="shared" si="0"/>
        <v>100000000000</v>
      </c>
      <c r="H4" s="12">
        <v>9.0999999999999998E-2</v>
      </c>
      <c r="I4" s="13">
        <v>45184</v>
      </c>
      <c r="J4" s="13">
        <v>47741</v>
      </c>
      <c r="K4" t="s">
        <v>17</v>
      </c>
      <c r="L4" s="13">
        <v>45184</v>
      </c>
      <c r="M4" s="11">
        <f t="shared" ref="M4:M14" si="1">G4*H4*($L$1-L4+1)/365</f>
        <v>2692602739.7260275</v>
      </c>
    </row>
    <row r="5" spans="1:13">
      <c r="A5" t="s">
        <v>18</v>
      </c>
      <c r="B5" s="3" t="s">
        <v>18</v>
      </c>
      <c r="C5" s="3" t="s">
        <v>14</v>
      </c>
      <c r="D5" s="11">
        <v>2000</v>
      </c>
      <c r="E5" s="11">
        <f>SUMIFS('121'!E:E,'121'!B:B,'Accrued interest'!B5)</f>
        <v>20000000000</v>
      </c>
      <c r="F5" s="11">
        <v>10000000</v>
      </c>
      <c r="G5" s="11">
        <f t="shared" si="0"/>
        <v>20000000000</v>
      </c>
      <c r="H5" s="12">
        <v>7.2999999999999995E-2</v>
      </c>
      <c r="I5" s="13">
        <v>44449</v>
      </c>
      <c r="J5" s="13">
        <v>47006</v>
      </c>
      <c r="K5" t="s">
        <v>17</v>
      </c>
      <c r="L5" s="13">
        <v>45179</v>
      </c>
      <c r="M5" s="11">
        <f t="shared" si="1"/>
        <v>452000000</v>
      </c>
    </row>
    <row r="6" spans="1:13">
      <c r="A6" t="s">
        <v>19</v>
      </c>
      <c r="B6" s="3" t="s">
        <v>19</v>
      </c>
      <c r="C6" s="3" t="s">
        <v>14</v>
      </c>
      <c r="D6" s="11">
        <v>3000</v>
      </c>
      <c r="E6" s="11">
        <f>SUMIFS('121'!E:E,'121'!B:B,'Accrued interest'!B6)</f>
        <v>30000000000</v>
      </c>
      <c r="F6" s="11">
        <v>10000000</v>
      </c>
      <c r="G6" s="11">
        <f t="shared" si="0"/>
        <v>30000000000</v>
      </c>
      <c r="H6" s="12">
        <v>7.2999999999999995E-2</v>
      </c>
      <c r="I6" s="13">
        <v>44459</v>
      </c>
      <c r="J6" s="13">
        <v>47016</v>
      </c>
      <c r="K6" t="s">
        <v>17</v>
      </c>
      <c r="L6" s="13">
        <v>45189</v>
      </c>
      <c r="M6" s="11">
        <f t="shared" si="1"/>
        <v>618000000</v>
      </c>
    </row>
    <row r="7" spans="1:13">
      <c r="A7" t="s">
        <v>20</v>
      </c>
      <c r="B7" s="3" t="s">
        <v>20</v>
      </c>
      <c r="C7" s="3" t="s">
        <v>14</v>
      </c>
      <c r="D7" s="11">
        <v>58996</v>
      </c>
      <c r="E7" s="11">
        <f>SUMIFS('121'!E:E,'121'!B:B,'Accrued interest'!B7)</f>
        <v>5899600000</v>
      </c>
      <c r="F7" s="11">
        <v>100000</v>
      </c>
      <c r="G7" s="11">
        <f t="shared" si="0"/>
        <v>5899600000</v>
      </c>
      <c r="H7" s="12">
        <v>0.105</v>
      </c>
      <c r="I7" s="13">
        <v>44477</v>
      </c>
      <c r="J7" s="13">
        <v>45024</v>
      </c>
      <c r="K7" t="s">
        <v>15</v>
      </c>
      <c r="L7" s="13">
        <v>45207</v>
      </c>
      <c r="M7" s="11">
        <f t="shared" si="1"/>
        <v>144257342.46575344</v>
      </c>
    </row>
    <row r="8" spans="1:13">
      <c r="A8" t="s">
        <v>21</v>
      </c>
      <c r="B8" s="3" t="s">
        <v>21</v>
      </c>
      <c r="C8" s="3" t="s">
        <v>14</v>
      </c>
      <c r="D8" s="11">
        <v>50000</v>
      </c>
      <c r="E8" s="11">
        <f>SUMIFS('121'!E:E,'121'!B:B,'Accrued interest'!B8)</f>
        <v>5000000000</v>
      </c>
      <c r="F8" s="11">
        <v>100000</v>
      </c>
      <c r="G8" s="11">
        <f t="shared" si="0"/>
        <v>5000000000</v>
      </c>
      <c r="H8" s="12">
        <v>0.1</v>
      </c>
      <c r="I8" s="13">
        <v>44697</v>
      </c>
      <c r="J8" s="13">
        <v>46158</v>
      </c>
      <c r="K8" t="s">
        <v>22</v>
      </c>
      <c r="L8" s="13">
        <v>45246</v>
      </c>
      <c r="M8" s="11">
        <f t="shared" si="1"/>
        <v>63013698.630136989</v>
      </c>
    </row>
    <row r="9" spans="1:13">
      <c r="A9" t="s">
        <v>23</v>
      </c>
      <c r="B9" s="3" t="s">
        <v>23</v>
      </c>
      <c r="C9" s="3" t="s">
        <v>14</v>
      </c>
      <c r="D9" s="11">
        <v>40000</v>
      </c>
      <c r="E9" s="11">
        <f>SUMIFS('121'!E:E,'121'!B:B,'Accrued interest'!B9)</f>
        <v>4000000000</v>
      </c>
      <c r="F9" s="11">
        <v>100000</v>
      </c>
      <c r="G9" s="11">
        <f t="shared" si="0"/>
        <v>4000000000</v>
      </c>
      <c r="H9" s="12">
        <v>0.105</v>
      </c>
      <c r="I9" s="13">
        <v>44477</v>
      </c>
      <c r="J9" s="13">
        <v>45573</v>
      </c>
      <c r="K9" t="s">
        <v>22</v>
      </c>
      <c r="L9" s="13">
        <v>45207</v>
      </c>
      <c r="M9" s="11">
        <f t="shared" si="1"/>
        <v>97808219.178082198</v>
      </c>
    </row>
    <row r="10" spans="1:13">
      <c r="A10" t="s">
        <v>24</v>
      </c>
      <c r="B10" s="3" t="s">
        <v>24</v>
      </c>
      <c r="C10" s="3" t="s">
        <v>14</v>
      </c>
      <c r="D10" s="11">
        <v>40</v>
      </c>
      <c r="E10" s="11">
        <f>SUMIFS('121'!E:E,'121'!B:B,'Accrued interest'!B10)</f>
        <v>39059083362</v>
      </c>
      <c r="F10" s="11">
        <v>1000000000</v>
      </c>
      <c r="G10" s="11">
        <f t="shared" si="0"/>
        <v>40000000000</v>
      </c>
      <c r="H10" s="12">
        <v>8.5000000000000006E-2</v>
      </c>
      <c r="I10" s="13">
        <v>44294</v>
      </c>
      <c r="J10" s="13">
        <v>46851</v>
      </c>
      <c r="K10" t="s">
        <v>17</v>
      </c>
      <c r="L10" s="13">
        <v>45024</v>
      </c>
      <c r="M10" s="11">
        <f t="shared" si="1"/>
        <v>2496438356.1643839</v>
      </c>
    </row>
    <row r="11" spans="1:13">
      <c r="A11" t="s">
        <v>25</v>
      </c>
      <c r="B11" s="3" t="s">
        <v>25</v>
      </c>
      <c r="C11" s="3" t="s">
        <v>14</v>
      </c>
      <c r="D11" s="11">
        <v>5000</v>
      </c>
      <c r="E11" s="11">
        <f>SUMIFS('121'!E:E,'121'!B:B,'Accrued interest'!B11)</f>
        <v>50000000000.255814</v>
      </c>
      <c r="F11" s="11">
        <v>10000000</v>
      </c>
      <c r="G11" s="11">
        <f t="shared" si="0"/>
        <v>50000000000</v>
      </c>
      <c r="H11" s="12">
        <v>0.10100000000000001</v>
      </c>
      <c r="I11" s="13">
        <v>44601</v>
      </c>
      <c r="J11" s="13">
        <v>47158</v>
      </c>
      <c r="K11" t="s">
        <v>17</v>
      </c>
      <c r="L11" s="13">
        <v>44966</v>
      </c>
      <c r="M11" s="11">
        <f t="shared" si="1"/>
        <v>4510410958.90411</v>
      </c>
    </row>
    <row r="12" spans="1:13">
      <c r="A12" t="s">
        <v>26</v>
      </c>
      <c r="B12" s="3" t="s">
        <v>26</v>
      </c>
      <c r="C12" s="3" t="s">
        <v>14</v>
      </c>
      <c r="D12" s="11">
        <v>5000</v>
      </c>
      <c r="E12" s="11">
        <f>SUMIFS('121'!E:E,'121'!B:B,'Accrued interest'!B12)</f>
        <v>49999999999.880341</v>
      </c>
      <c r="F12" s="11">
        <v>10000000</v>
      </c>
      <c r="G12" s="11">
        <f t="shared" si="0"/>
        <v>50000000000</v>
      </c>
      <c r="H12" s="12">
        <v>7.4800000000000005E-2</v>
      </c>
      <c r="I12" s="13">
        <v>44610</v>
      </c>
      <c r="J12" s="13">
        <v>47167</v>
      </c>
      <c r="K12" t="s">
        <v>17</v>
      </c>
      <c r="L12" s="13">
        <v>44975</v>
      </c>
      <c r="M12" s="11">
        <f t="shared" si="1"/>
        <v>3248164383.5616446</v>
      </c>
    </row>
    <row r="13" spans="1:13">
      <c r="A13" t="s">
        <v>27</v>
      </c>
      <c r="B13" s="3" t="s">
        <v>27</v>
      </c>
      <c r="C13" s="3" t="s">
        <v>14</v>
      </c>
      <c r="D13" s="11">
        <v>100000</v>
      </c>
      <c r="E13" s="11">
        <f>SUMIFS('121'!E:E,'121'!B:B,'Accrued interest'!B13)</f>
        <v>10774200000</v>
      </c>
      <c r="F13" s="11">
        <v>107742</v>
      </c>
      <c r="G13" s="11">
        <f>E13</f>
        <v>10774200000</v>
      </c>
      <c r="H13" s="12">
        <v>7.0999999999999994E-2</v>
      </c>
      <c r="I13" s="13">
        <v>45279</v>
      </c>
      <c r="J13" s="13">
        <v>45309</v>
      </c>
      <c r="K13" t="s">
        <v>28</v>
      </c>
      <c r="L13" s="13">
        <v>45279</v>
      </c>
      <c r="M13" s="11">
        <f t="shared" si="1"/>
        <v>27245442.739726022</v>
      </c>
    </row>
    <row r="14" spans="1:13">
      <c r="A14" t="s">
        <v>29</v>
      </c>
      <c r="B14" s="3" t="s">
        <v>29</v>
      </c>
      <c r="C14" s="3" t="s">
        <v>14</v>
      </c>
      <c r="D14" s="11">
        <v>399500</v>
      </c>
      <c r="E14" s="11">
        <f>SUMIFS('121'!E:E,'121'!B:B,'Accrued interest'!B14)</f>
        <v>43146399500</v>
      </c>
      <c r="F14" s="11">
        <v>108001</v>
      </c>
      <c r="G14" s="11">
        <f>E14</f>
        <v>43146399500</v>
      </c>
      <c r="H14" s="12">
        <v>7.0999999999999994E-2</v>
      </c>
      <c r="I14" s="13">
        <v>45279</v>
      </c>
      <c r="J14" s="13">
        <v>45309</v>
      </c>
      <c r="K14" t="s">
        <v>28</v>
      </c>
      <c r="L14" s="13">
        <v>45279</v>
      </c>
      <c r="M14" s="11">
        <f t="shared" si="1"/>
        <v>109107196.5438356</v>
      </c>
    </row>
    <row r="15" spans="1:13">
      <c r="B15" s="3"/>
      <c r="C15" s="3"/>
      <c r="D15" s="11"/>
      <c r="E15" s="11"/>
      <c r="F15" s="11"/>
      <c r="G15" s="11"/>
      <c r="H15" s="12"/>
      <c r="I15" s="13"/>
      <c r="J15" s="13"/>
      <c r="L15" s="13"/>
      <c r="M15" s="11"/>
    </row>
    <row r="16" spans="1:13">
      <c r="B16" s="3"/>
      <c r="C16" s="3"/>
      <c r="D16" s="11"/>
      <c r="E16" s="11"/>
      <c r="F16" s="11"/>
      <c r="G16" s="11"/>
      <c r="H16" s="12"/>
      <c r="I16" s="13"/>
      <c r="J16" s="13"/>
      <c r="L16" s="13"/>
      <c r="M16" s="11"/>
    </row>
    <row r="17" spans="2:13">
      <c r="B17" s="3"/>
      <c r="C17" s="3"/>
      <c r="D17" s="11"/>
      <c r="E17" s="11"/>
      <c r="F17" s="11"/>
      <c r="G17" s="11"/>
      <c r="H17" s="12"/>
      <c r="I17" s="13"/>
      <c r="J17" s="13"/>
      <c r="L17" s="13"/>
      <c r="M17" s="11"/>
    </row>
    <row r="18" spans="2:13">
      <c r="B18" s="3"/>
      <c r="C18" s="3"/>
      <c r="D18" s="11"/>
      <c r="E18" s="11"/>
      <c r="F18" s="11"/>
      <c r="G18" s="11"/>
      <c r="H18" s="12"/>
      <c r="I18" s="13"/>
      <c r="J18" s="13"/>
      <c r="L18" s="13"/>
      <c r="M18" s="11"/>
    </row>
    <row r="19" spans="2:13">
      <c r="B19" s="3"/>
      <c r="C19" s="3"/>
      <c r="D19" s="11"/>
      <c r="E19" s="11"/>
      <c r="F19" s="11"/>
      <c r="G19" s="11"/>
      <c r="H19" s="12"/>
      <c r="I19" s="13"/>
      <c r="J19" s="13"/>
      <c r="L19" s="13"/>
      <c r="M19" s="11"/>
    </row>
    <row r="20" spans="2:13">
      <c r="B20" s="3"/>
      <c r="C20" s="3"/>
      <c r="D20" s="11"/>
      <c r="E20" s="11"/>
      <c r="F20" s="11"/>
      <c r="G20" s="11"/>
      <c r="H20" s="12"/>
      <c r="I20" s="13"/>
      <c r="J20" s="13"/>
      <c r="L20" s="13"/>
      <c r="M20" s="11"/>
    </row>
    <row r="22" spans="2:13">
      <c r="B22" t="s">
        <v>30</v>
      </c>
      <c r="C22" s="3" t="s">
        <v>31</v>
      </c>
      <c r="D22">
        <v>20</v>
      </c>
      <c r="E22" s="11">
        <v>20041232880</v>
      </c>
    </row>
    <row r="23" spans="2:13">
      <c r="B23" t="s">
        <v>32</v>
      </c>
      <c r="C23" s="3" t="s">
        <v>31</v>
      </c>
      <c r="D23">
        <v>50</v>
      </c>
      <c r="E23" s="11">
        <v>50000000000</v>
      </c>
    </row>
    <row r="24" spans="2:13">
      <c r="B24" t="s">
        <v>30</v>
      </c>
      <c r="C24" s="3" t="s">
        <v>31</v>
      </c>
      <c r="D24">
        <v>30</v>
      </c>
      <c r="E24" s="11">
        <v>31139794530</v>
      </c>
    </row>
    <row r="25" spans="2:13">
      <c r="B25" t="s">
        <v>33</v>
      </c>
      <c r="C25" s="3" t="s">
        <v>31</v>
      </c>
      <c r="D25">
        <v>50</v>
      </c>
      <c r="E25" s="11">
        <v>51708773650</v>
      </c>
    </row>
    <row r="26" spans="2:13">
      <c r="B26" t="s">
        <v>34</v>
      </c>
      <c r="C26" s="3" t="s">
        <v>31</v>
      </c>
      <c r="D26">
        <v>500</v>
      </c>
      <c r="E26" s="11">
        <v>50000000000</v>
      </c>
    </row>
    <row r="27" spans="2:13">
      <c r="B27" t="s">
        <v>35</v>
      </c>
      <c r="C27" s="3" t="s">
        <v>31</v>
      </c>
      <c r="D27">
        <v>500</v>
      </c>
      <c r="E27" s="11">
        <v>50000000000</v>
      </c>
    </row>
    <row r="28" spans="2:13">
      <c r="B28" t="s">
        <v>36</v>
      </c>
      <c r="C28" s="3" t="s">
        <v>31</v>
      </c>
      <c r="D28">
        <v>100</v>
      </c>
      <c r="E28" s="11">
        <v>100000000000</v>
      </c>
    </row>
    <row r="29" spans="2:13">
      <c r="B29" t="s">
        <v>37</v>
      </c>
      <c r="C29" s="3" t="s">
        <v>31</v>
      </c>
      <c r="D29">
        <v>1</v>
      </c>
      <c r="E29" s="11">
        <v>100000000000</v>
      </c>
    </row>
    <row r="30" spans="2:13">
      <c r="B30" t="s">
        <v>38</v>
      </c>
      <c r="C30" s="3" t="s">
        <v>31</v>
      </c>
      <c r="D30">
        <v>10</v>
      </c>
      <c r="E30" s="11">
        <v>10000000000</v>
      </c>
    </row>
    <row r="31" spans="2:13">
      <c r="B31" t="s">
        <v>39</v>
      </c>
      <c r="C31" s="3" t="s">
        <v>31</v>
      </c>
      <c r="D31">
        <v>10</v>
      </c>
      <c r="E31" s="11">
        <v>10000000000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FF34-36C6-42A8-8CE1-3146330FBBFB}">
  <sheetPr codeName="Sheet2">
    <tabColor theme="8" tint="0.79998168889431442"/>
  </sheetPr>
  <dimension ref="A1:O23"/>
  <sheetViews>
    <sheetView tabSelected="1" zoomScale="70" zoomScaleNormal="70" workbookViewId="0">
      <selection activeCell="H4" sqref="H4"/>
    </sheetView>
  </sheetViews>
  <sheetFormatPr defaultRowHeight="14.5"/>
  <cols>
    <col min="7" max="7" width="41.1796875" bestFit="1" customWidth="1"/>
    <col min="8" max="8" width="16.453125" bestFit="1" customWidth="1"/>
    <col min="9" max="10" width="17.1796875" bestFit="1" customWidth="1"/>
    <col min="11" max="11" width="16.1796875" bestFit="1" customWidth="1"/>
    <col min="12" max="12" width="17.1796875" bestFit="1" customWidth="1"/>
  </cols>
  <sheetData>
    <row r="1" spans="1:12">
      <c r="A1" s="340" t="s">
        <v>40</v>
      </c>
      <c r="B1" s="342" t="s">
        <v>41</v>
      </c>
      <c r="C1" s="344" t="s">
        <v>42</v>
      </c>
      <c r="D1" s="342" t="s">
        <v>43</v>
      </c>
      <c r="E1" s="344" t="s">
        <v>44</v>
      </c>
      <c r="F1" s="346" t="s">
        <v>45</v>
      </c>
      <c r="G1" s="338" t="s">
        <v>46</v>
      </c>
      <c r="H1" s="291" t="s">
        <v>47</v>
      </c>
      <c r="I1" s="292"/>
      <c r="J1" s="291" t="s">
        <v>48</v>
      </c>
      <c r="K1" s="292"/>
      <c r="L1" s="300" t="s">
        <v>49</v>
      </c>
    </row>
    <row r="2" spans="1:12">
      <c r="A2" s="341"/>
      <c r="B2" s="343"/>
      <c r="C2" s="345"/>
      <c r="D2" s="343"/>
      <c r="E2" s="345"/>
      <c r="F2" s="347"/>
      <c r="G2" s="339"/>
      <c r="H2" s="293" t="s">
        <v>50</v>
      </c>
      <c r="I2" s="283" t="s">
        <v>51</v>
      </c>
      <c r="J2" s="293" t="s">
        <v>50</v>
      </c>
      <c r="K2" s="283" t="s">
        <v>51</v>
      </c>
      <c r="L2" s="301" t="s">
        <v>52</v>
      </c>
    </row>
    <row r="3" spans="1:12">
      <c r="A3" s="284">
        <v>1</v>
      </c>
      <c r="B3" s="277"/>
      <c r="C3" s="280" t="s">
        <v>53</v>
      </c>
      <c r="D3" s="277" t="s">
        <v>54</v>
      </c>
      <c r="E3" s="3"/>
      <c r="F3" s="3"/>
      <c r="G3" s="3"/>
      <c r="H3" s="286"/>
      <c r="I3" s="287"/>
      <c r="J3" s="286"/>
      <c r="K3" s="287"/>
      <c r="L3" s="302"/>
    </row>
    <row r="4" spans="1:12">
      <c r="A4" s="286"/>
      <c r="B4" s="3"/>
      <c r="C4" s="281"/>
      <c r="D4" s="3"/>
      <c r="E4" s="3" t="s">
        <v>55</v>
      </c>
      <c r="F4" s="3" t="s">
        <v>56</v>
      </c>
      <c r="G4" s="3" t="s">
        <v>14</v>
      </c>
      <c r="H4" s="159">
        <f>'Amortised cost 31.12.2023'!AA1</f>
        <v>31739115134.622185</v>
      </c>
      <c r="I4" s="287"/>
      <c r="J4" s="286"/>
      <c r="K4" s="287"/>
      <c r="L4" s="302">
        <f t="shared" ref="L4:L17" si="0">ROUND(SUM(H4:K4),0)</f>
        <v>31739115135</v>
      </c>
    </row>
    <row r="5" spans="1:12">
      <c r="A5" s="286"/>
      <c r="B5" s="3"/>
      <c r="C5" s="281"/>
      <c r="D5" s="3"/>
      <c r="E5" s="3" t="s">
        <v>57</v>
      </c>
      <c r="F5" s="3" t="s">
        <v>58</v>
      </c>
      <c r="G5" s="3" t="s">
        <v>59</v>
      </c>
      <c r="H5" s="286"/>
      <c r="I5" s="287"/>
      <c r="J5" s="286"/>
      <c r="K5" s="285">
        <f>-H4</f>
        <v>-31739115134.622185</v>
      </c>
      <c r="L5" s="302">
        <f t="shared" si="0"/>
        <v>-31739115135</v>
      </c>
    </row>
    <row r="6" spans="1:12">
      <c r="A6" s="286"/>
      <c r="B6" s="3"/>
      <c r="C6" s="281"/>
      <c r="D6" s="3"/>
      <c r="E6" s="3"/>
      <c r="F6" s="3"/>
      <c r="G6" s="3"/>
      <c r="H6" s="286"/>
      <c r="I6" s="287"/>
      <c r="J6" s="286"/>
      <c r="K6" s="285"/>
      <c r="L6" s="302"/>
    </row>
    <row r="7" spans="1:12">
      <c r="A7" s="284">
        <v>2</v>
      </c>
      <c r="B7" s="277"/>
      <c r="C7" s="280" t="s">
        <v>53</v>
      </c>
      <c r="D7" s="277" t="s">
        <v>60</v>
      </c>
      <c r="E7" s="277"/>
      <c r="F7" s="277"/>
      <c r="G7" s="277"/>
      <c r="H7" s="294"/>
      <c r="I7" s="295"/>
      <c r="J7" s="294"/>
      <c r="K7" s="295"/>
      <c r="L7" s="302"/>
    </row>
    <row r="8" spans="1:12">
      <c r="A8" s="286"/>
      <c r="B8" s="3"/>
      <c r="C8" s="3"/>
      <c r="D8" s="3"/>
      <c r="E8" s="3" t="s">
        <v>55</v>
      </c>
      <c r="F8" s="3" t="s">
        <v>56</v>
      </c>
      <c r="G8" s="3" t="s">
        <v>14</v>
      </c>
      <c r="H8" s="159">
        <f>SUMIFS('NTFS - Supporting'!L:L,'NTFS - Supporting'!F:F,"Chứng chỉ tiền gửi")</f>
        <v>546963466445</v>
      </c>
      <c r="I8" s="287"/>
      <c r="J8" s="286"/>
      <c r="K8" s="287"/>
      <c r="L8" s="302">
        <f t="shared" si="0"/>
        <v>546963466445</v>
      </c>
    </row>
    <row r="9" spans="1:12">
      <c r="A9" s="286"/>
      <c r="B9" s="3"/>
      <c r="C9" s="3"/>
      <c r="D9" s="3"/>
      <c r="E9" s="3" t="s">
        <v>57</v>
      </c>
      <c r="F9" s="3" t="s">
        <v>61</v>
      </c>
      <c r="G9" s="3" t="s">
        <v>62</v>
      </c>
      <c r="H9" s="286"/>
      <c r="I9" s="285">
        <f>-H8</f>
        <v>-546963466445</v>
      </c>
      <c r="J9" s="286"/>
      <c r="K9" s="287"/>
      <c r="L9" s="302">
        <f t="shared" si="0"/>
        <v>-546963466445</v>
      </c>
    </row>
    <row r="10" spans="1:12">
      <c r="A10" s="286"/>
      <c r="B10" s="3"/>
      <c r="C10" s="3"/>
      <c r="D10" s="3"/>
      <c r="E10" s="3"/>
      <c r="F10" s="3"/>
      <c r="G10" s="3"/>
      <c r="H10" s="286"/>
      <c r="I10" s="287"/>
      <c r="J10" s="286"/>
      <c r="K10" s="287"/>
      <c r="L10" s="302"/>
    </row>
    <row r="11" spans="1:12">
      <c r="A11" s="284">
        <v>3</v>
      </c>
      <c r="B11" s="277"/>
      <c r="C11" s="280" t="s">
        <v>53</v>
      </c>
      <c r="D11" s="277" t="s">
        <v>63</v>
      </c>
      <c r="E11" s="277"/>
      <c r="F11" s="3"/>
      <c r="G11" s="3"/>
      <c r="H11" s="294"/>
      <c r="I11" s="295"/>
      <c r="J11" s="294"/>
      <c r="K11" s="295"/>
      <c r="L11" s="302"/>
    </row>
    <row r="12" spans="1:12">
      <c r="A12" s="284"/>
      <c r="B12" s="277"/>
      <c r="C12" s="280"/>
      <c r="D12" s="277"/>
      <c r="E12" s="3" t="s">
        <v>55</v>
      </c>
      <c r="F12" s="3" t="s">
        <v>58</v>
      </c>
      <c r="G12" s="3" t="s">
        <v>59</v>
      </c>
      <c r="H12" s="159"/>
      <c r="I12" s="295"/>
      <c r="J12" s="159">
        <f>SUM('NTFS - Supporting'!M4:M30)</f>
        <v>1293431497.7314644</v>
      </c>
      <c r="K12" s="295"/>
      <c r="L12" s="302">
        <f t="shared" si="0"/>
        <v>1293431498</v>
      </c>
    </row>
    <row r="13" spans="1:12">
      <c r="A13" s="286"/>
      <c r="B13" s="3"/>
      <c r="C13" s="3"/>
      <c r="D13" s="3"/>
      <c r="E13" s="3" t="s">
        <v>57</v>
      </c>
      <c r="F13" s="3" t="s">
        <v>56</v>
      </c>
      <c r="G13" s="3" t="str">
        <f>_xlfn.XLOOKUP(F13,[1]LS!G:G,[1]LS!H:H)</f>
        <v>Trái phiếu</v>
      </c>
      <c r="H13" s="159"/>
      <c r="I13" s="296">
        <f>-J12</f>
        <v>-1293431497.7314644</v>
      </c>
      <c r="J13" s="286"/>
      <c r="K13" s="285"/>
      <c r="L13" s="302">
        <f t="shared" si="0"/>
        <v>-1293431498</v>
      </c>
    </row>
    <row r="14" spans="1:12">
      <c r="A14" s="286"/>
      <c r="B14" s="3"/>
      <c r="C14" s="3"/>
      <c r="D14" s="3"/>
      <c r="E14" s="3"/>
      <c r="F14" s="3"/>
      <c r="G14" s="3"/>
      <c r="H14" s="286"/>
      <c r="I14" s="287"/>
      <c r="J14" s="286"/>
      <c r="K14" s="287"/>
      <c r="L14" s="302"/>
    </row>
    <row r="15" spans="1:12">
      <c r="A15" s="284">
        <v>4</v>
      </c>
      <c r="B15" s="277"/>
      <c r="C15" s="280" t="s">
        <v>53</v>
      </c>
      <c r="D15" s="277" t="s">
        <v>64</v>
      </c>
      <c r="E15" s="277"/>
      <c r="F15" s="277"/>
      <c r="G15" s="277"/>
      <c r="H15" s="294"/>
      <c r="I15" s="295"/>
      <c r="J15" s="294"/>
      <c r="K15" s="295"/>
      <c r="L15" s="302"/>
    </row>
    <row r="16" spans="1:12">
      <c r="A16" s="286"/>
      <c r="B16" s="3"/>
      <c r="C16" s="3"/>
      <c r="D16" s="3"/>
      <c r="E16" s="3" t="s">
        <v>55</v>
      </c>
      <c r="F16" s="3" t="s">
        <v>56</v>
      </c>
      <c r="G16" s="3" t="str">
        <f>_xlfn.XLOOKUP(F16,[1]LS!G:G,[1]LS!H:H)</f>
        <v>Trái phiếu</v>
      </c>
      <c r="H16" s="298">
        <f>J12</f>
        <v>1293431497.7314644</v>
      </c>
      <c r="I16" s="287"/>
      <c r="J16" s="298"/>
      <c r="K16" s="287"/>
      <c r="L16" s="302">
        <f t="shared" si="0"/>
        <v>1293431498</v>
      </c>
    </row>
    <row r="17" spans="1:15">
      <c r="A17" s="286"/>
      <c r="B17" s="3"/>
      <c r="C17" s="3"/>
      <c r="D17" s="3"/>
      <c r="E17" s="3" t="s">
        <v>57</v>
      </c>
      <c r="F17" s="3" t="s">
        <v>65</v>
      </c>
      <c r="G17" s="3" t="s">
        <v>66</v>
      </c>
      <c r="H17" s="297"/>
      <c r="I17" s="285"/>
      <c r="J17" s="286"/>
      <c r="K17" s="285">
        <f>-H16</f>
        <v>-1293431497.7314644</v>
      </c>
      <c r="L17" s="302">
        <f t="shared" si="0"/>
        <v>-1293431498</v>
      </c>
    </row>
    <row r="18" spans="1:15">
      <c r="A18" s="284">
        <v>5</v>
      </c>
      <c r="B18" s="3"/>
      <c r="C18" s="277" t="s">
        <v>53</v>
      </c>
      <c r="D18" s="277" t="s">
        <v>67</v>
      </c>
      <c r="E18" s="3"/>
      <c r="F18" s="3"/>
      <c r="G18" s="3"/>
      <c r="H18" s="286"/>
      <c r="I18" s="287"/>
      <c r="J18" s="286"/>
      <c r="K18" s="287"/>
      <c r="L18" s="303"/>
      <c r="O18" s="299"/>
    </row>
    <row r="19" spans="1:15">
      <c r="A19" s="286"/>
      <c r="B19" s="3"/>
      <c r="C19" s="3"/>
      <c r="D19" s="3"/>
      <c r="E19" s="3" t="s">
        <v>55</v>
      </c>
      <c r="F19" s="282" t="s">
        <v>58</v>
      </c>
      <c r="G19" s="3" t="str">
        <f>_xlfn.XLOOKUP(F19,[2]LS!G:G,[2]LS!H:H)</f>
        <v>(IFRS) Doanh thu lãi tài sản FVTOCI</v>
      </c>
      <c r="H19" s="286"/>
      <c r="I19" s="287"/>
      <c r="J19" s="159">
        <v>49678642181.643204</v>
      </c>
      <c r="K19" s="287"/>
      <c r="L19" s="302">
        <f t="shared" ref="L19:L20" si="1">ROUND(SUM(H19:K19),0)</f>
        <v>49678642182</v>
      </c>
      <c r="M19" s="3" t="s">
        <v>68</v>
      </c>
      <c r="N19" s="3"/>
      <c r="O19" s="299"/>
    </row>
    <row r="20" spans="1:15">
      <c r="A20" s="286"/>
      <c r="B20" s="3"/>
      <c r="C20" s="3"/>
      <c r="D20" s="3"/>
      <c r="E20" s="3" t="s">
        <v>57</v>
      </c>
      <c r="F20" s="282" t="s">
        <v>56</v>
      </c>
      <c r="G20" s="3" t="str">
        <f>_xlfn.XLOOKUP(F20,[2]LS!G:G,[2]LS!H:H)</f>
        <v>Trái phiếu</v>
      </c>
      <c r="H20" s="286"/>
      <c r="I20" s="285">
        <v>-49678642181.643204</v>
      </c>
      <c r="J20" s="286"/>
      <c r="K20" s="287"/>
      <c r="L20" s="302">
        <f t="shared" si="1"/>
        <v>-49678642182</v>
      </c>
      <c r="M20" s="3" t="s">
        <v>69</v>
      </c>
      <c r="N20" s="3"/>
      <c r="O20" s="299"/>
    </row>
    <row r="21" spans="1:15" ht="15" thickBot="1">
      <c r="A21" s="288"/>
      <c r="B21" s="289"/>
      <c r="C21" s="289"/>
      <c r="D21" s="289"/>
      <c r="E21" s="289"/>
      <c r="F21" s="289"/>
      <c r="G21" s="289"/>
      <c r="H21" s="288"/>
      <c r="I21" s="290"/>
      <c r="J21" s="288"/>
      <c r="K21" s="290"/>
      <c r="L21" s="304"/>
      <c r="M21" s="3" t="s">
        <v>70</v>
      </c>
      <c r="N21" s="3"/>
      <c r="O21" s="299"/>
    </row>
    <row r="23" spans="1:15">
      <c r="F23" s="3"/>
      <c r="G23" s="3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B486-21A5-4F16-A915-6553E9B33CC4}">
  <sheetPr codeName="Sheet3"/>
  <dimension ref="A1:Q71"/>
  <sheetViews>
    <sheetView zoomScale="70" zoomScaleNormal="70" workbookViewId="0">
      <pane xSplit="6" ySplit="3" topLeftCell="G4" activePane="bottomRight" state="frozen"/>
      <selection pane="topRight" activeCell="D1" sqref="D1"/>
      <selection pane="bottomLeft" activeCell="A3" sqref="A3"/>
      <selection pane="bottomRight" activeCell="F4" sqref="F4"/>
    </sheetView>
  </sheetViews>
  <sheetFormatPr defaultRowHeight="14.5"/>
  <cols>
    <col min="1" max="1" width="8.81640625"/>
    <col min="2" max="2" width="22.1796875" bestFit="1" customWidth="1"/>
    <col min="3" max="3" width="13.1796875" bestFit="1" customWidth="1"/>
    <col min="4" max="5" width="26.54296875" customWidth="1"/>
    <col min="6" max="6" width="19.54296875" bestFit="1" customWidth="1"/>
    <col min="7" max="9" width="19.54296875" customWidth="1"/>
    <col min="10" max="10" width="18.81640625" bestFit="1" customWidth="1"/>
    <col min="11" max="11" width="19.54296875" bestFit="1" customWidth="1"/>
    <col min="12" max="12" width="18.81640625" bestFit="1" customWidth="1"/>
    <col min="13" max="13" width="16.81640625" bestFit="1" customWidth="1"/>
    <col min="14" max="14" width="17.1796875" bestFit="1" customWidth="1"/>
    <col min="16" max="16" width="19.54296875" bestFit="1" customWidth="1"/>
    <col min="17" max="17" width="17.1796875" bestFit="1" customWidth="1"/>
  </cols>
  <sheetData>
    <row r="1" spans="1:17">
      <c r="E1" s="11">
        <v>1094214493820</v>
      </c>
      <c r="F1" s="173">
        <f>J2+I1</f>
        <v>1044501738445.3568</v>
      </c>
      <c r="G1" s="272"/>
      <c r="H1" s="272">
        <f>ROUND(J2,0)</f>
        <v>1059469701029</v>
      </c>
      <c r="I1" s="272">
        <v>-14967962584</v>
      </c>
      <c r="J1" s="173">
        <v>17085699171.3568</v>
      </c>
      <c r="K1" s="173">
        <f>J2-K2</f>
        <v>1293431497.7314453</v>
      </c>
      <c r="L1" s="11">
        <f>K2-L2</f>
        <v>32563420224.489258</v>
      </c>
      <c r="P1" s="273">
        <v>1089767760608</v>
      </c>
    </row>
    <row r="2" spans="1:17" ht="15" thickBot="1">
      <c r="F2" s="173">
        <v>49712755374.643204</v>
      </c>
      <c r="G2" s="273">
        <f>SUBTOTAL(9,G4:G58)</f>
        <v>1108928739620</v>
      </c>
      <c r="H2" s="273">
        <f t="shared" ref="H2:I2" si="0">SUBTOTAL(9,H4:H58)</f>
        <v>1103163044804</v>
      </c>
      <c r="I2" s="273">
        <f t="shared" si="0"/>
        <v>1057132360851</v>
      </c>
      <c r="J2" s="273">
        <f>SUBTOTAL(9,J4:J30)</f>
        <v>1059469701029.3568</v>
      </c>
      <c r="K2" s="273">
        <f t="shared" ref="K2:N2" si="1">SUBTOTAL(9,K4:K30)</f>
        <v>1058176269531.6254</v>
      </c>
      <c r="L2" s="273">
        <f t="shared" si="1"/>
        <v>1025612849307.1361</v>
      </c>
      <c r="M2" s="273">
        <f t="shared" si="1"/>
        <v>1293431497.7314644</v>
      </c>
      <c r="N2" s="273">
        <f t="shared" si="1"/>
        <v>32563420224.489235</v>
      </c>
      <c r="P2" s="11">
        <f>P1-K2</f>
        <v>31591491076.374634</v>
      </c>
    </row>
    <row r="3" spans="1:17" ht="26">
      <c r="A3" s="192" t="s">
        <v>71</v>
      </c>
      <c r="B3" s="193" t="s">
        <v>0</v>
      </c>
      <c r="C3" s="193" t="s">
        <v>72</v>
      </c>
      <c r="D3" s="193" t="s">
        <v>1</v>
      </c>
      <c r="E3" s="193"/>
      <c r="F3" s="193" t="s">
        <v>2</v>
      </c>
      <c r="G3" s="274" t="s">
        <v>73</v>
      </c>
      <c r="H3" s="274" t="s">
        <v>74</v>
      </c>
      <c r="I3" s="274" t="s">
        <v>75</v>
      </c>
      <c r="J3" s="265" t="s">
        <v>76</v>
      </c>
      <c r="K3" s="265" t="s">
        <v>77</v>
      </c>
      <c r="L3" s="265" t="s">
        <v>78</v>
      </c>
      <c r="M3" s="265" t="s">
        <v>79</v>
      </c>
      <c r="N3" s="265" t="s">
        <v>80</v>
      </c>
      <c r="P3" s="266" t="s">
        <v>81</v>
      </c>
      <c r="Q3" s="266" t="s">
        <v>82</v>
      </c>
    </row>
    <row r="4" spans="1:17">
      <c r="A4" s="134" t="s">
        <v>83</v>
      </c>
      <c r="B4" s="121" t="s">
        <v>36</v>
      </c>
      <c r="C4" s="121" t="s">
        <v>84</v>
      </c>
      <c r="D4" s="121" t="s">
        <v>36</v>
      </c>
      <c r="E4" s="121" t="str">
        <f>VLOOKUP(D4,Sheet2!A:D,4,0)</f>
        <v>CD</v>
      </c>
      <c r="F4" s="3" t="s">
        <v>31</v>
      </c>
      <c r="G4" s="224">
        <f>SUMIFS('AC 31.12.2022'!C:C,'AC 31.12.2022'!$B:$B,D4)</f>
        <v>0</v>
      </c>
      <c r="H4" s="224">
        <f>SUMIFS('AC 31.12.2022'!D:D,'AC 31.12.2022'!$B:$B,D4)</f>
        <v>0</v>
      </c>
      <c r="I4" s="224">
        <f>SUMIFS('AC 31.12.2022'!E:E,'AC 31.12.2022'!$B:$B,D4)</f>
        <v>0</v>
      </c>
      <c r="J4" s="11">
        <f>SUMIFS('Fair value 31.12.2023'!J:J,'Fair value 31.12.2023'!B:B,B4,'Fair value 31.12.2023'!A:A,A4)</f>
        <v>106226040126.52766</v>
      </c>
      <c r="K4" s="11">
        <f>SUMIFS('Amortised cost 31.12.2023'!FQ:FQ,'Amortised cost 31.12.2023'!C:C,D4,'Amortised cost 31.12.2023'!A:A,A4)</f>
        <v>105100800238.71132</v>
      </c>
      <c r="L4" s="11">
        <f>SUMIFS('Amortised cost 31.12.2023'!F:F,'Amortised cost 31.12.2023'!C:C,D4,'Amortised cost 31.12.2023'!A:A,A4)</f>
        <v>100000000000</v>
      </c>
      <c r="M4" s="11">
        <f>J4-K4</f>
        <v>1125239887.8163452</v>
      </c>
      <c r="N4" s="173">
        <f t="shared" ref="N4:N30" si="2">K4-L4</f>
        <v>5100800238.711319</v>
      </c>
      <c r="P4" s="11">
        <f>SUMIFS('Amortised cost 31.12.2023'!F:F,'Amortised cost 31.12.2023'!B:B,'NTFS - Supporting'!B4)+SUMIFS('Amortised cost 31.12.2023'!P:P,'Amortised cost 31.12.2023'!B:B,'NTFS - Supporting'!B4)-J4</f>
        <v>-952067523.78793335</v>
      </c>
      <c r="Q4" s="11">
        <f>SUMIFS('Amortised cost 31.12.2023'!FQ:FQ,'Amortised cost 31.12.2023'!B:B,'NTFS - Supporting'!B4)-K4</f>
        <v>0</v>
      </c>
    </row>
    <row r="5" spans="1:17">
      <c r="A5" s="134" t="s">
        <v>83</v>
      </c>
      <c r="B5" s="121" t="s">
        <v>85</v>
      </c>
      <c r="C5" s="121" t="s">
        <v>84</v>
      </c>
      <c r="D5" s="121" t="s">
        <v>37</v>
      </c>
      <c r="E5" s="121" t="str">
        <f>VLOOKUP(D5,Sheet2!A:D,4,0)</f>
        <v>CD</v>
      </c>
      <c r="F5" s="3" t="s">
        <v>31</v>
      </c>
      <c r="G5" s="224">
        <f>SUMIFS('AC 31.12.2022'!C:C,'AC 31.12.2022'!$B:$B,D5)</f>
        <v>0</v>
      </c>
      <c r="H5" s="224">
        <f>SUMIFS('AC 31.12.2022'!D:D,'AC 31.12.2022'!$B:$B,D5)</f>
        <v>0</v>
      </c>
      <c r="I5" s="224">
        <f>SUMIFS('AC 31.12.2022'!E:E,'AC 31.12.2022'!$B:$B,D5)</f>
        <v>0</v>
      </c>
      <c r="J5" s="11">
        <f>SUMIFS('Fair value 31.12.2023'!J:J,'Fair value 31.12.2023'!B:B,B5,'Fair value 31.12.2023'!A:A,A5)</f>
        <v>116562960195.55518</v>
      </c>
      <c r="K5" s="11">
        <f>SUMIFS('Amortised cost 31.12.2023'!FQ:FQ,'Amortised cost 31.12.2023'!C:C,D5,'Amortised cost 31.12.2023'!A:A,A5)</f>
        <v>103713026548.22363</v>
      </c>
      <c r="L5" s="11">
        <f>SUMIFS('Amortised cost 31.12.2023'!F:F,'Amortised cost 31.12.2023'!C:C,D5,'Amortised cost 31.12.2023'!A:A,A5)</f>
        <v>100000000000</v>
      </c>
      <c r="M5" s="11">
        <f t="shared" ref="M5:M30" si="3">J5-K5</f>
        <v>12849933647.331543</v>
      </c>
      <c r="N5" s="173">
        <f t="shared" si="2"/>
        <v>3713026548.2236328</v>
      </c>
      <c r="P5" s="11">
        <f>SUMIFS('Amortised cost 31.12.2023'!F:F,'Amortised cost 31.12.2023'!B:B,'NTFS - Supporting'!B5)+SUMIFS('Amortised cost 31.12.2023'!P:P,'Amortised cost 31.12.2023'!B:B,'NTFS - Supporting'!B5)-J5</f>
        <v>-12761590332.541473</v>
      </c>
      <c r="Q5" s="11">
        <f>SUMIFS('Amortised cost 31.12.2023'!FQ:FQ,'Amortised cost 31.12.2023'!B:B,'NTFS - Supporting'!B5)-K5</f>
        <v>0</v>
      </c>
    </row>
    <row r="6" spans="1:17">
      <c r="A6" s="134" t="s">
        <v>83</v>
      </c>
      <c r="B6" s="121" t="s">
        <v>16</v>
      </c>
      <c r="C6" s="121" t="s">
        <v>84</v>
      </c>
      <c r="D6" s="3" t="s">
        <v>16</v>
      </c>
      <c r="E6" s="121" t="s">
        <v>86</v>
      </c>
      <c r="F6" s="3" t="s">
        <v>14</v>
      </c>
      <c r="G6" s="224">
        <f>SUMIFS('AC 31.12.2022'!C:C,'AC 31.12.2022'!$B:$B,D6)</f>
        <v>0</v>
      </c>
      <c r="H6" s="224">
        <f>SUMIFS('AC 31.12.2022'!D:D,'AC 31.12.2022'!$B:$B,D6)</f>
        <v>0</v>
      </c>
      <c r="I6" s="224">
        <f>SUMIFS('AC 31.12.2022'!E:E,'AC 31.12.2022'!$B:$B,D6)</f>
        <v>0</v>
      </c>
      <c r="J6" s="11">
        <f>SUMIFS('Fair value 31.12.2023'!J:J,'Fair value 31.12.2023'!B:B,B6,'Fair value 31.12.2023'!A:A,A6)</f>
        <v>108100349554.2453</v>
      </c>
      <c r="K6" s="11">
        <f>SUMIFS('Amortised cost 31.12.2023'!FQ:FQ,'Amortised cost 31.12.2023'!C:C,D6,'Amortised cost 31.12.2023'!A:A,A6)</f>
        <v>102303550086.46312</v>
      </c>
      <c r="L6" s="11">
        <f>SUMIFS('Amortised cost 31.12.2023'!F:F,'Amortised cost 31.12.2023'!C:C,D6,'Amortised cost 31.12.2023'!A:A,A6)</f>
        <v>100860500000</v>
      </c>
      <c r="M6" s="11">
        <f t="shared" si="3"/>
        <v>5796799467.7821808</v>
      </c>
      <c r="N6" s="173">
        <f t="shared" si="2"/>
        <v>1443050086.4631195</v>
      </c>
      <c r="P6" s="11">
        <f>SUMIFS('Amortised cost 31.12.2023'!F:F,'Amortised cost 31.12.2023'!B:B,'NTFS - Supporting'!B6)+SUMIFS('Amortised cost 31.12.2023'!P:P,'Amortised cost 31.12.2023'!B:B,'NTFS - Supporting'!B6)-J6</f>
        <v>-5731493389.8617401</v>
      </c>
      <c r="Q6" s="11">
        <f>SUMIFS('Amortised cost 31.12.2023'!FQ:FQ,'Amortised cost 31.12.2023'!B:B,'NTFS - Supporting'!B6)-K6</f>
        <v>0</v>
      </c>
    </row>
    <row r="7" spans="1:17">
      <c r="A7" s="134" t="s">
        <v>83</v>
      </c>
      <c r="B7" s="121" t="s">
        <v>25</v>
      </c>
      <c r="C7" s="121" t="s">
        <v>84</v>
      </c>
      <c r="D7" s="3" t="s">
        <v>25</v>
      </c>
      <c r="E7" s="121" t="str">
        <f>VLOOKUP(D7,Sheet2!A:D,4,0)</f>
        <v>Private offering</v>
      </c>
      <c r="F7" s="3" t="s">
        <v>14</v>
      </c>
      <c r="G7" s="224">
        <f>SUMIFS('AC 31.12.2022'!C:C,'AC 31.12.2022'!$B:$B,D7)</f>
        <v>53651709324</v>
      </c>
      <c r="H7" s="224">
        <f>SUMIFS('AC 31.12.2022'!D:D,'AC 31.12.2022'!$B:$B,D7)</f>
        <v>52963560296</v>
      </c>
      <c r="I7" s="224">
        <f>SUMIFS('AC 31.12.2022'!E:E,'AC 31.12.2022'!$B:$B,D7)</f>
        <v>50019325543</v>
      </c>
      <c r="J7" s="11">
        <f>SUMIFS('Fair value 31.12.2023'!J:J,'Fair value 31.12.2023'!B:B,B7,'Fair value 31.12.2023'!A:A,A7)</f>
        <v>49550258287.855789</v>
      </c>
      <c r="K7" s="11">
        <f>SUMIFS('Amortised cost 31.12.2023'!FQ:FQ,'Amortised cost 31.12.2023'!C:C,D7,'Amortised cost 31.12.2023'!A:A,A7)</f>
        <v>55582337527.955101</v>
      </c>
      <c r="L7" s="11">
        <f>SUMIFS('Amortised cost 31.12.2023'!F:F,'Amortised cost 31.12.2023'!C:C,D7,'Amortised cost 31.12.2023'!A:A,A7)</f>
        <v>50000000000.255814</v>
      </c>
      <c r="M7" s="11">
        <f t="shared" si="3"/>
        <v>-6032079240.0993118</v>
      </c>
      <c r="N7" s="173">
        <f t="shared" si="2"/>
        <v>5582337527.6992874</v>
      </c>
      <c r="P7" s="11">
        <f>SUMIFS('Amortised cost 31.12.2023'!F:F,'Amortised cost 31.12.2023'!B:B,'NTFS - Supporting'!B7)+SUMIFS('Amortised cost 31.12.2023'!P:P,'Amortised cost 31.12.2023'!B:B,'NTFS - Supporting'!B7)-J7</f>
        <v>4960152671.3041382</v>
      </c>
      <c r="Q7" s="11">
        <f>SUMIFS('Amortised cost 31.12.2023'!FQ:FQ,'Amortised cost 31.12.2023'!B:B,'NTFS - Supporting'!B7)-K7</f>
        <v>0</v>
      </c>
    </row>
    <row r="8" spans="1:17">
      <c r="A8" s="134" t="s">
        <v>83</v>
      </c>
      <c r="B8" s="121" t="s">
        <v>26</v>
      </c>
      <c r="C8" s="121" t="s">
        <v>84</v>
      </c>
      <c r="D8" s="3" t="s">
        <v>26</v>
      </c>
      <c r="E8" s="121" t="str">
        <f>VLOOKUP(D8,Sheet2!A:D,4,0)</f>
        <v>Private offering</v>
      </c>
      <c r="F8" s="3" t="s">
        <v>14</v>
      </c>
      <c r="G8" s="224">
        <f>SUMIFS('AC 31.12.2022'!C:C,'AC 31.12.2022'!$B:$B,D8)</f>
        <v>53561531015</v>
      </c>
      <c r="H8" s="224">
        <f>SUMIFS('AC 31.12.2022'!D:D,'AC 31.12.2022'!$B:$B,D8)</f>
        <v>53545964851</v>
      </c>
      <c r="I8" s="224">
        <f>SUMIFS('AC 31.12.2022'!E:E,'AC 31.12.2022'!$B:$B,D8)</f>
        <v>50169327947</v>
      </c>
      <c r="J8" s="11">
        <f>SUMIFS('Fair value 31.12.2023'!J:J,'Fair value 31.12.2023'!B:B,B8,'Fair value 31.12.2023'!A:A,A8)</f>
        <v>49252283502.245323</v>
      </c>
      <c r="K8" s="11">
        <f>SUMIFS('Amortised cost 31.12.2023'!FQ:FQ,'Amortised cost 31.12.2023'!C:C,D8,'Amortised cost 31.12.2023'!A:A,A8)</f>
        <v>54244038335.869743</v>
      </c>
      <c r="L8" s="11">
        <f>SUMIFS('Amortised cost 31.12.2023'!F:F,'Amortised cost 31.12.2023'!C:C,D8,'Amortised cost 31.12.2023'!A:A,A8)</f>
        <v>49999999999.880341</v>
      </c>
      <c r="M8" s="11">
        <f t="shared" si="3"/>
        <v>-4991754833.6244202</v>
      </c>
      <c r="N8" s="173">
        <f t="shared" si="2"/>
        <v>4244038335.9894028</v>
      </c>
      <c r="P8" s="11">
        <f>SUMIFS('Amortised cost 31.12.2023'!F:F,'Amortised cost 31.12.2023'!B:B,'NTFS - Supporting'!B8)+SUMIFS('Amortised cost 31.12.2023'!P:P,'Amortised cost 31.12.2023'!B:B,'NTFS - Supporting'!B8)-J8</f>
        <v>5133606908.5939255</v>
      </c>
      <c r="Q8" s="11">
        <f>SUMIFS('Amortised cost 31.12.2023'!FQ:FQ,'Amortised cost 31.12.2023'!B:B,'NTFS - Supporting'!B8)-K8</f>
        <v>0</v>
      </c>
    </row>
    <row r="9" spans="1:17">
      <c r="A9" s="134" t="s">
        <v>83</v>
      </c>
      <c r="B9" s="121" t="s">
        <v>30</v>
      </c>
      <c r="C9" s="121" t="s">
        <v>84</v>
      </c>
      <c r="D9" s="121" t="s">
        <v>30</v>
      </c>
      <c r="E9" s="121" t="str">
        <f>VLOOKUP(D9,Sheet2!A:D,4,0)</f>
        <v>CD</v>
      </c>
      <c r="F9" s="3" t="s">
        <v>31</v>
      </c>
      <c r="G9" s="224">
        <f>SUMIFS('AC 31.12.2022'!C:C,'AC 31.12.2022'!$B:$B,D9)</f>
        <v>0</v>
      </c>
      <c r="H9" s="224">
        <f>SUMIFS('AC 31.12.2022'!D:D,'AC 31.12.2022'!$B:$B,D9)</f>
        <v>0</v>
      </c>
      <c r="I9" s="224">
        <f>SUMIFS('AC 31.12.2022'!E:E,'AC 31.12.2022'!$B:$B,D9)</f>
        <v>0</v>
      </c>
      <c r="J9" s="11">
        <f>SUMIFS('Fair value 31.12.2023'!J:J,'Fair value 31.12.2023'!B:B,B9,'Fair value 31.12.2023'!A:A,A9)</f>
        <v>54107116013.366333</v>
      </c>
      <c r="K9" s="11">
        <f>SUMIFS('Amortised cost 31.12.2023'!FQ:FQ,'Amortised cost 31.12.2023'!C:C,D9,'Amortised cost 31.12.2023'!A:A,A9)</f>
        <v>53074811939.776321</v>
      </c>
      <c r="L9" s="11">
        <f>SUMIFS('Amortised cost 31.12.2023'!F:F,'Amortised cost 31.12.2023'!C:C,D9,'Amortised cost 31.12.2023'!A:A,A9)</f>
        <v>52559423050</v>
      </c>
      <c r="M9" s="11">
        <f t="shared" si="3"/>
        <v>1032304073.5900116</v>
      </c>
      <c r="N9" s="173">
        <f t="shared" si="2"/>
        <v>515388889.77632141</v>
      </c>
      <c r="P9" s="11">
        <f>SUMIFS('Amortised cost 31.12.2023'!F:F,'Amortised cost 31.12.2023'!B:B,'NTFS - Supporting'!B9)+SUMIFS('Amortised cost 31.12.2023'!P:P,'Amortised cost 31.12.2023'!B:B,'NTFS - Supporting'!B9)-J9</f>
        <v>-958651867.47592163</v>
      </c>
      <c r="Q9" s="11">
        <f>SUMIFS('Amortised cost 31.12.2023'!FQ:FQ,'Amortised cost 31.12.2023'!B:B,'NTFS - Supporting'!B9)-K9</f>
        <v>0</v>
      </c>
    </row>
    <row r="10" spans="1:17">
      <c r="A10" s="134" t="s">
        <v>83</v>
      </c>
      <c r="B10" s="121" t="s">
        <v>32</v>
      </c>
      <c r="C10" s="121" t="s">
        <v>84</v>
      </c>
      <c r="D10" s="121" t="s">
        <v>32</v>
      </c>
      <c r="E10" s="121" t="str">
        <f>VLOOKUP(D10,Sheet2!A:D,4,0)</f>
        <v>CD</v>
      </c>
      <c r="F10" s="3" t="s">
        <v>31</v>
      </c>
      <c r="G10" s="224">
        <f>SUMIFS('AC 31.12.2022'!C:C,'AC 31.12.2022'!$B:$B,D10)</f>
        <v>0</v>
      </c>
      <c r="H10" s="224">
        <f>SUMIFS('AC 31.12.2022'!D:D,'AC 31.12.2022'!$B:$B,D10)</f>
        <v>0</v>
      </c>
      <c r="I10" s="224">
        <f>SUMIFS('AC 31.12.2022'!E:E,'AC 31.12.2022'!$B:$B,D10)</f>
        <v>0</v>
      </c>
      <c r="J10" s="11">
        <f>SUMIFS('Fair value 31.12.2023'!J:J,'Fair value 31.12.2023'!B:B,B10,'Fair value 31.12.2023'!A:A,A10)</f>
        <v>53209321620.932869</v>
      </c>
      <c r="K10" s="11">
        <f>SUMIFS('Amortised cost 31.12.2023'!FQ:FQ,'Amortised cost 31.12.2023'!C:C,D10,'Amortised cost 31.12.2023'!A:A,A10)</f>
        <v>52914811205.100159</v>
      </c>
      <c r="L10" s="11">
        <f>SUMIFS('Amortised cost 31.12.2023'!F:F,'Amortised cost 31.12.2023'!C:C,D10,'Amortised cost 31.12.2023'!A:A,A10)</f>
        <v>51834228650</v>
      </c>
      <c r="M10" s="11">
        <f t="shared" si="3"/>
        <v>294510415.83271027</v>
      </c>
      <c r="N10" s="173">
        <f t="shared" si="2"/>
        <v>1080582555.1001587</v>
      </c>
      <c r="P10" s="11">
        <f>SUMIFS('Amortised cost 31.12.2023'!F:F,'Amortised cost 31.12.2023'!B:B,'NTFS - Supporting'!B10)+SUMIFS('Amortised cost 31.12.2023'!P:P,'Amortised cost 31.12.2023'!B:B,'NTFS - Supporting'!B10)-J10</f>
        <v>-270640916.13835144</v>
      </c>
      <c r="Q10" s="11">
        <f>SUMIFS('Amortised cost 31.12.2023'!FQ:FQ,'Amortised cost 31.12.2023'!B:B,'NTFS - Supporting'!B10)-K10</f>
        <v>0</v>
      </c>
    </row>
    <row r="11" spans="1:17">
      <c r="A11" s="134" t="s">
        <v>83</v>
      </c>
      <c r="B11" s="121" t="s">
        <v>33</v>
      </c>
      <c r="C11" s="121" t="s">
        <v>84</v>
      </c>
      <c r="D11" s="121" t="s">
        <v>33</v>
      </c>
      <c r="E11" s="121" t="str">
        <f>VLOOKUP(D11,Sheet2!A:D,4,0)</f>
        <v>CD</v>
      </c>
      <c r="F11" s="3" t="s">
        <v>31</v>
      </c>
      <c r="G11" s="224">
        <f>SUMIFS('AC 31.12.2022'!C:C,'AC 31.12.2022'!$B:$B,D11)</f>
        <v>0</v>
      </c>
      <c r="H11" s="224">
        <f>SUMIFS('AC 31.12.2022'!D:D,'AC 31.12.2022'!$B:$B,D11)</f>
        <v>0</v>
      </c>
      <c r="I11" s="224">
        <f>SUMIFS('AC 31.12.2022'!E:E,'AC 31.12.2022'!$B:$B,D11)</f>
        <v>0</v>
      </c>
      <c r="J11" s="11">
        <f>SUMIFS('Fair value 31.12.2023'!J:J,'Fair value 31.12.2023'!B:B,B11,'Fair value 31.12.2023'!A:A,A11)</f>
        <v>53535897164.522873</v>
      </c>
      <c r="K11" s="11">
        <f>SUMIFS('Amortised cost 31.12.2023'!FQ:FQ,'Amortised cost 31.12.2023'!C:C,D11,'Amortised cost 31.12.2023'!A:A,A11)</f>
        <v>52450429991.380066</v>
      </c>
      <c r="L11" s="11">
        <f>SUMIFS('Amortised cost 31.12.2023'!F:F,'Amortised cost 31.12.2023'!C:C,D11,'Amortised cost 31.12.2023'!A:A,A11)</f>
        <v>51708773650</v>
      </c>
      <c r="M11" s="11">
        <f t="shared" si="3"/>
        <v>1085467173.142807</v>
      </c>
      <c r="N11" s="173">
        <f t="shared" si="2"/>
        <v>741656341.38006592</v>
      </c>
      <c r="P11" s="11">
        <f>SUMIFS('Amortised cost 31.12.2023'!F:F,'Amortised cost 31.12.2023'!B:B,'NTFS - Supporting'!B11)+SUMIFS('Amortised cost 31.12.2023'!P:P,'Amortised cost 31.12.2023'!B:B,'NTFS - Supporting'!B11)-J11</f>
        <v>-1061370089.8653412</v>
      </c>
      <c r="Q11" s="11">
        <f>SUMIFS('Amortised cost 31.12.2023'!FQ:FQ,'Amortised cost 31.12.2023'!B:B,'NTFS - Supporting'!B11)-K11</f>
        <v>0</v>
      </c>
    </row>
    <row r="12" spans="1:17">
      <c r="A12" s="134" t="s">
        <v>83</v>
      </c>
      <c r="B12" s="121" t="s">
        <v>34</v>
      </c>
      <c r="C12" s="121" t="s">
        <v>84</v>
      </c>
      <c r="D12" s="121" t="s">
        <v>34</v>
      </c>
      <c r="E12" s="121" t="str">
        <f>VLOOKUP(D12,Sheet2!A:D,4,0)</f>
        <v>CD</v>
      </c>
      <c r="F12" s="3" t="s">
        <v>31</v>
      </c>
      <c r="G12" s="224">
        <f>SUMIFS('AC 31.12.2022'!C:C,'AC 31.12.2022'!$B:$B,D12)</f>
        <v>0</v>
      </c>
      <c r="H12" s="224">
        <f>SUMIFS('AC 31.12.2022'!D:D,'AC 31.12.2022'!$B:$B,D12)</f>
        <v>0</v>
      </c>
      <c r="I12" s="224">
        <f>SUMIFS('AC 31.12.2022'!E:E,'AC 31.12.2022'!$B:$B,D12)</f>
        <v>0</v>
      </c>
      <c r="J12" s="11">
        <f>SUMIFS('Fair value 31.12.2023'!J:J,'Fair value 31.12.2023'!B:B,B12,'Fair value 31.12.2023'!A:A,A12)</f>
        <v>52863831750.881973</v>
      </c>
      <c r="K12" s="11">
        <f>SUMIFS('Amortised cost 31.12.2023'!FQ:FQ,'Amortised cost 31.12.2023'!C:C,D12,'Amortised cost 31.12.2023'!A:A,A12)</f>
        <v>52388262130.951591</v>
      </c>
      <c r="L12" s="11">
        <f>SUMIFS('Amortised cost 31.12.2023'!F:F,'Amortised cost 31.12.2023'!C:C,D12,'Amortised cost 31.12.2023'!A:A,A12)</f>
        <v>50000000000</v>
      </c>
      <c r="M12" s="11">
        <f t="shared" si="3"/>
        <v>475569619.93038177</v>
      </c>
      <c r="N12" s="173">
        <f t="shared" si="2"/>
        <v>2388262130.9515915</v>
      </c>
      <c r="P12" s="11">
        <f>SUMIFS('Amortised cost 31.12.2023'!F:F,'Amortised cost 31.12.2023'!B:B,'NTFS - Supporting'!B12)+SUMIFS('Amortised cost 31.12.2023'!P:P,'Amortised cost 31.12.2023'!B:B,'NTFS - Supporting'!B12)-J12</f>
        <v>-401092024.85457611</v>
      </c>
      <c r="Q12" s="11">
        <f>SUMIFS('Amortised cost 31.12.2023'!FQ:FQ,'Amortised cost 31.12.2023'!B:B,'NTFS - Supporting'!B12)-K12</f>
        <v>0</v>
      </c>
    </row>
    <row r="13" spans="1:17">
      <c r="A13" s="134" t="s">
        <v>83</v>
      </c>
      <c r="B13" s="121" t="s">
        <v>35</v>
      </c>
      <c r="C13" s="121" t="s">
        <v>84</v>
      </c>
      <c r="D13" s="121" t="s">
        <v>35</v>
      </c>
      <c r="E13" s="121" t="str">
        <f>VLOOKUP(D13,Sheet2!A:D,4,0)</f>
        <v>CD</v>
      </c>
      <c r="F13" s="3" t="s">
        <v>31</v>
      </c>
      <c r="G13" s="224">
        <f>SUMIFS('AC 31.12.2022'!C:C,'AC 31.12.2022'!$B:$B,D13)</f>
        <v>0</v>
      </c>
      <c r="H13" s="224">
        <f>SUMIFS('AC 31.12.2022'!D:D,'AC 31.12.2022'!$B:$B,D13)</f>
        <v>0</v>
      </c>
      <c r="I13" s="224">
        <f>SUMIFS('AC 31.12.2022'!E:E,'AC 31.12.2022'!$B:$B,D13)</f>
        <v>0</v>
      </c>
      <c r="J13" s="11">
        <f>SUMIFS('Fair value 31.12.2023'!J:J,'Fair value 31.12.2023'!B:B,B13,'Fair value 31.12.2023'!A:A,A13)</f>
        <v>52797250647.547615</v>
      </c>
      <c r="K13" s="11">
        <f>SUMIFS('Amortised cost 31.12.2023'!FQ:FQ,'Amortised cost 31.12.2023'!C:C,D13,'Amortised cost 31.12.2023'!A:A,A13)</f>
        <v>52305466167.805672</v>
      </c>
      <c r="L13" s="11">
        <f>SUMIFS('Amortised cost 31.12.2023'!F:F,'Amortised cost 31.12.2023'!C:C,D13,'Amortised cost 31.12.2023'!A:A,A13)</f>
        <v>50000000000</v>
      </c>
      <c r="M13" s="11">
        <f t="shared" si="3"/>
        <v>491784479.74194336</v>
      </c>
      <c r="N13" s="173">
        <f t="shared" si="2"/>
        <v>2305466167.8056717</v>
      </c>
      <c r="P13" s="11">
        <f>SUMIFS('Amortised cost 31.12.2023'!F:F,'Amortised cost 31.12.2023'!B:B,'NTFS - Supporting'!B13)+SUMIFS('Amortised cost 31.12.2023'!P:P,'Amortised cost 31.12.2023'!B:B,'NTFS - Supporting'!B13)-J13</f>
        <v>-417524620.15035248</v>
      </c>
      <c r="Q13" s="11">
        <f>SUMIFS('Amortised cost 31.12.2023'!FQ:FQ,'Amortised cost 31.12.2023'!B:B,'NTFS - Supporting'!B13)-K13</f>
        <v>0</v>
      </c>
    </row>
    <row r="14" spans="1:17">
      <c r="A14" s="134" t="s">
        <v>87</v>
      </c>
      <c r="B14" s="121" t="s">
        <v>88</v>
      </c>
      <c r="C14" s="121" t="s">
        <v>89</v>
      </c>
      <c r="D14" s="3" t="s">
        <v>90</v>
      </c>
      <c r="E14" s="121" t="s">
        <v>91</v>
      </c>
      <c r="F14" s="3" t="s">
        <v>14</v>
      </c>
      <c r="G14" s="224">
        <f>SUMIFS('AC 31.12.2022'!C:C,'AC 31.12.2022'!$B:$B,D14)</f>
        <v>0</v>
      </c>
      <c r="H14" s="224">
        <f>SUMIFS('AC 31.12.2022'!D:D,'AC 31.12.2022'!$B:$B,D14)</f>
        <v>0</v>
      </c>
      <c r="I14" s="224">
        <f>SUMIFS('AC 31.12.2022'!E:E,'AC 31.12.2022'!$B:$B,D14)</f>
        <v>0</v>
      </c>
      <c r="J14" s="11">
        <f>SUMIFS('Fair value 31.12.2023'!J:J,'Fair value 31.12.2023'!B:B,B14,'Fair value 31.12.2023'!A:A,A14)</f>
        <v>50705611225.588577</v>
      </c>
      <c r="K14" s="11">
        <f>SUMIFS('Amortised cost 31.12.2023'!FQ:FQ,'Amortised cost 31.12.2023'!C:C,D14,'Amortised cost 31.12.2023'!A:A,A14)</f>
        <v>51085123903.140053</v>
      </c>
      <c r="L14" s="11">
        <f>SUMIFS('Amortised cost 31.12.2023'!F:F,'Amortised cost 31.12.2023'!C:C,D14,'Amortised cost 31.12.2023'!A:A,A14)</f>
        <v>50887450000</v>
      </c>
      <c r="M14" s="11">
        <f t="shared" si="3"/>
        <v>-379512677.55147552</v>
      </c>
      <c r="N14" s="173">
        <f t="shared" si="2"/>
        <v>197673903.1400528</v>
      </c>
      <c r="P14" s="11">
        <f>'Amortised cost 31.12.2023'!F13+'Amortised cost 31.12.2023'!P13-'NTFS - Supporting'!J14</f>
        <v>-39905309663.088577</v>
      </c>
      <c r="Q14" s="11">
        <f>'Amortised cost 31.12.2023'!FQ13-'NTFS - Supporting'!K14</f>
        <v>-40306723421.45546</v>
      </c>
    </row>
    <row r="15" spans="1:17">
      <c r="A15" s="134" t="s">
        <v>83</v>
      </c>
      <c r="B15" s="121" t="s">
        <v>29</v>
      </c>
      <c r="C15" s="121" t="s">
        <v>84</v>
      </c>
      <c r="D15" s="3" t="s">
        <v>29</v>
      </c>
      <c r="E15" s="121" t="s">
        <v>86</v>
      </c>
      <c r="F15" s="3" t="s">
        <v>92</v>
      </c>
      <c r="G15" s="224">
        <f>SUMIFS('AC 31.12.2022'!C:C,'AC 31.12.2022'!$B:$B,D15)</f>
        <v>0</v>
      </c>
      <c r="H15" s="224">
        <f>SUMIFS('AC 31.12.2022'!D:D,'AC 31.12.2022'!$B:$B,D15)</f>
        <v>0</v>
      </c>
      <c r="I15" s="224">
        <f>SUMIFS('AC 31.12.2022'!E:E,'AC 31.12.2022'!$B:$B,D15)</f>
        <v>0</v>
      </c>
      <c r="J15" s="11">
        <f>SUMIFS('Fair value 31.12.2023'!J:J,'Fair value 31.12.2023'!B:B,B15,'Fair value 31.12.2023'!A:A,A15)</f>
        <v>34016226500</v>
      </c>
      <c r="K15" s="11">
        <f>SUMIFS('Amortised cost 31.12.2023'!FQ:FQ,'Amortised cost 31.12.2023'!C:C,D15,'Amortised cost 31.12.2023'!A:A,A15)</f>
        <v>43163219608.222275</v>
      </c>
      <c r="L15" s="11">
        <f>SUMIFS('Amortised cost 31.12.2023'!F:F,'Amortised cost 31.12.2023'!C:C,D15,'Amortised cost 31.12.2023'!A:A,A15)</f>
        <v>43146399500</v>
      </c>
      <c r="M15" s="11">
        <f t="shared" si="3"/>
        <v>-9146993108.2222748</v>
      </c>
      <c r="N15" s="173">
        <f t="shared" si="2"/>
        <v>16820108.22227478</v>
      </c>
      <c r="P15" s="11">
        <f>SUMIFS('Amortised cost 31.12.2023'!F:F,'Amortised cost 31.12.2023'!B:B,'NTFS - Supporting'!B15)+SUMIFS('Amortised cost 31.12.2023'!P:P,'Amortised cost 31.12.2023'!B:B,'NTFS - Supporting'!B15)-J15</f>
        <v>9234692187.5</v>
      </c>
      <c r="Q15" s="11">
        <f>SUMIFS('Amortised cost 31.12.2023'!FQ:FQ,'Amortised cost 31.12.2023'!B:B,'NTFS - Supporting'!B15)-K15</f>
        <v>0</v>
      </c>
    </row>
    <row r="16" spans="1:17">
      <c r="A16" s="134" t="s">
        <v>83</v>
      </c>
      <c r="B16" s="121" t="s">
        <v>24</v>
      </c>
      <c r="C16" s="121" t="s">
        <v>84</v>
      </c>
      <c r="D16" s="3" t="s">
        <v>24</v>
      </c>
      <c r="E16" s="121" t="str">
        <f>VLOOKUP(D16,Sheet2!A:D,4,0)</f>
        <v>Private offering</v>
      </c>
      <c r="F16" s="3" t="s">
        <v>14</v>
      </c>
      <c r="G16" s="224">
        <f>SUMIFS('AC 31.12.2022'!C:C,'AC 31.12.2022'!$B:$B,D16)</f>
        <v>0</v>
      </c>
      <c r="H16" s="224">
        <f>SUMIFS('AC 31.12.2022'!D:D,'AC 31.12.2022'!$B:$B,D16)</f>
        <v>0</v>
      </c>
      <c r="I16" s="224">
        <f>SUMIFS('AC 31.12.2022'!E:E,'AC 31.12.2022'!$B:$B,D16)</f>
        <v>0</v>
      </c>
      <c r="J16" s="11">
        <f>SUMIFS('Fair value 31.12.2023'!J:J,'Fair value 31.12.2023'!B:B,B16,'Fair value 31.12.2023'!A:A,A16)</f>
        <v>36768982534.670532</v>
      </c>
      <c r="K16" s="11">
        <f>SUMIFS('Amortised cost 31.12.2023'!FQ:FQ,'Amortised cost 31.12.2023'!C:C,D16,'Amortised cost 31.12.2023'!A:A,A16)</f>
        <v>39462733511.491959</v>
      </c>
      <c r="L16" s="11">
        <f>SUMIFS('Amortised cost 31.12.2023'!F:F,'Amortised cost 31.12.2023'!C:C,D16,'Amortised cost 31.12.2023'!A:A,A16)</f>
        <v>39059083362</v>
      </c>
      <c r="M16" s="11">
        <f t="shared" si="3"/>
        <v>-2693750976.8214264</v>
      </c>
      <c r="N16" s="173">
        <f t="shared" si="2"/>
        <v>403650149.49195862</v>
      </c>
      <c r="P16" s="11">
        <f>SUMIFS('Amortised cost 31.12.2023'!F:F,'Amortised cost 31.12.2023'!B:B,'NTFS - Supporting'!B16)+SUMIFS('Amortised cost 31.12.2023'!P:P,'Amortised cost 31.12.2023'!B:B,'NTFS - Supporting'!B16)-J16</f>
        <v>2716963841.0280991</v>
      </c>
      <c r="Q16" s="11">
        <f>SUMIFS('Amortised cost 31.12.2023'!FQ:FQ,'Amortised cost 31.12.2023'!B:B,'NTFS - Supporting'!B16)-K16</f>
        <v>0</v>
      </c>
    </row>
    <row r="17" spans="1:17">
      <c r="A17" s="134" t="s">
        <v>87</v>
      </c>
      <c r="B17" s="121" t="s">
        <v>93</v>
      </c>
      <c r="C17" s="121" t="s">
        <v>84</v>
      </c>
      <c r="D17" s="121" t="s">
        <v>93</v>
      </c>
      <c r="E17" s="121" t="str">
        <f>VLOOKUP(D17,Sheet2!A:D,4,0)</f>
        <v>CD</v>
      </c>
      <c r="F17" s="143" t="s">
        <v>31</v>
      </c>
      <c r="G17" s="224">
        <f>SUMIFS('AC 31.12.2022'!C:C,'AC 31.12.2022'!$B:$B,D17)</f>
        <v>0</v>
      </c>
      <c r="H17" s="224">
        <f>SUMIFS('AC 31.12.2022'!D:D,'AC 31.12.2022'!$B:$B,D17)</f>
        <v>0</v>
      </c>
      <c r="I17" s="224">
        <f>SUMIFS('AC 31.12.2022'!E:E,'AC 31.12.2022'!$B:$B,D17)</f>
        <v>0</v>
      </c>
      <c r="J17" s="11">
        <f>SUMIFS('Fair value 31.12.2023'!J:J,'Fair value 31.12.2023'!B:B,B17,'Fair value 31.12.2023'!A:A,A17)</f>
        <v>37319405565.160095</v>
      </c>
      <c r="K17" s="11">
        <f>SUMIFS('Amortised cost 31.12.2023'!FQ:FQ,'Amortised cost 31.12.2023'!C:C,D17,'Amortised cost 31.12.2023'!A:A,A17)</f>
        <v>36556265966.258133</v>
      </c>
      <c r="L17" s="11">
        <f>SUMIFS('Amortised cost 31.12.2023'!F:F,'Amortised cost 31.12.2023'!C:C,D17,'Amortised cost 31.12.2023'!A:A,A17)</f>
        <v>35683506845</v>
      </c>
      <c r="M17" s="11">
        <f t="shared" si="3"/>
        <v>763139598.90196228</v>
      </c>
      <c r="N17" s="173">
        <f t="shared" si="2"/>
        <v>872759121.25813293</v>
      </c>
      <c r="P17" s="11">
        <f>'Amortised cost 31.12.2023'!F16+'Amortised cost 31.12.2023'!P16-'NTFS - Supporting'!J17</f>
        <v>-15714192661.934288</v>
      </c>
      <c r="Q17" s="11">
        <f>'Amortised cost 31.12.2023'!FQ16-'NTFS - Supporting'!K17</f>
        <v>-15003397983.251255</v>
      </c>
    </row>
    <row r="18" spans="1:17">
      <c r="A18" s="134" t="s">
        <v>87</v>
      </c>
      <c r="B18" s="3" t="s">
        <v>94</v>
      </c>
      <c r="C18" s="3" t="s">
        <v>89</v>
      </c>
      <c r="D18" s="3" t="s">
        <v>94</v>
      </c>
      <c r="E18" s="121" t="s">
        <v>86</v>
      </c>
      <c r="F18" s="3" t="s">
        <v>92</v>
      </c>
      <c r="G18" s="224">
        <f>SUMIFS('AC 31.12.2022'!C:C,'AC 31.12.2022'!$B:$B,D18)</f>
        <v>0</v>
      </c>
      <c r="H18" s="224">
        <f>SUMIFS('AC 31.12.2022'!D:D,'AC 31.12.2022'!$B:$B,D18)</f>
        <v>0</v>
      </c>
      <c r="I18" s="224">
        <f>SUMIFS('AC 31.12.2022'!E:E,'AC 31.12.2022'!$B:$B,D18)</f>
        <v>0</v>
      </c>
      <c r="J18" s="11">
        <f>SUMIFS('Fair value 31.12.2023'!J:J,'Fair value 31.12.2023'!B:B,B18,'Fair value 31.12.2023'!A:A,A18)</f>
        <v>35008533286.518654</v>
      </c>
      <c r="K18" s="11">
        <f>SUMIFS('Amortised cost 31.12.2023'!FQ:FQ,'Amortised cost 31.12.2023'!C:C,D18,'Amortised cost 31.12.2023'!A:A,A18)</f>
        <v>34980997166.352104</v>
      </c>
      <c r="L18" s="11">
        <f>SUMIFS('Amortised cost 31.12.2023'!F:F,'Amortised cost 31.12.2023'!C:C,D18,'Amortised cost 31.12.2023'!A:A,A18)</f>
        <v>34973750000</v>
      </c>
      <c r="M18" s="11">
        <f t="shared" si="3"/>
        <v>27536120.166549683</v>
      </c>
      <c r="N18" s="173">
        <f t="shared" si="2"/>
        <v>7247166.352104187</v>
      </c>
      <c r="P18" s="11">
        <f>'Amortised cost 31.12.2023'!F17+'Amortised cost 31.12.2023'!P17-J18</f>
        <v>16178231781.974495</v>
      </c>
      <c r="Q18" s="11">
        <f>'Amortised cost 31.12.2023'!FQ17-K18</f>
        <v>16104126736.787949</v>
      </c>
    </row>
    <row r="19" spans="1:17">
      <c r="A19" s="134" t="s">
        <v>83</v>
      </c>
      <c r="B19" s="121" t="s">
        <v>19</v>
      </c>
      <c r="C19" s="121" t="s">
        <v>84</v>
      </c>
      <c r="D19" s="3" t="s">
        <v>19</v>
      </c>
      <c r="E19" s="121" t="str">
        <f>VLOOKUP(D19,Sheet2!A:D,4,0)</f>
        <v>Private offering</v>
      </c>
      <c r="F19" s="3" t="s">
        <v>14</v>
      </c>
      <c r="G19" s="224">
        <f>SUMIFS('AC 31.12.2022'!C:C,'AC 31.12.2022'!$B:$B,D19)</f>
        <v>30605712329</v>
      </c>
      <c r="H19" s="224">
        <f>SUMIFS('AC 31.12.2022'!D:D,'AC 31.12.2022'!$B:$B,D19)</f>
        <v>30589586344</v>
      </c>
      <c r="I19" s="224">
        <f>SUMIFS('AC 31.12.2022'!E:E,'AC 31.12.2022'!$B:$B,D19)</f>
        <v>30000000000</v>
      </c>
      <c r="J19" s="11">
        <f>SUMIFS('Fair value 31.12.2023'!J:J,'Fair value 31.12.2023'!B:B,B19,'Fair value 31.12.2023'!A:A,A19)</f>
        <v>30714913662.10524</v>
      </c>
      <c r="K19" s="11">
        <f>SUMIFS('Amortised cost 31.12.2023'!FQ:FQ,'Amortised cost 31.12.2023'!C:C,D19,'Amortised cost 31.12.2023'!A:A,A19)</f>
        <v>30726923842.679722</v>
      </c>
      <c r="L19" s="11">
        <f>SUMIFS('Amortised cost 31.12.2023'!F:F,'Amortised cost 31.12.2023'!C:C,D19,'Amortised cost 31.12.2023'!A:A,A19)</f>
        <v>30000000000</v>
      </c>
      <c r="M19" s="11">
        <f t="shared" si="3"/>
        <v>-12010180.574481964</v>
      </c>
      <c r="N19" s="173">
        <f t="shared" si="2"/>
        <v>726923842.67972183</v>
      </c>
      <c r="P19" s="11">
        <f>SUMIFS('Amortised cost 31.12.2023'!F:F,'Amortised cost 31.12.2023'!B:B,'NTFS - Supporting'!B19)+SUMIFS('Amortised cost 31.12.2023'!P:P,'Amortised cost 31.12.2023'!B:B,'NTFS - Supporting'!B19)-J19</f>
        <v>-79982155.255924225</v>
      </c>
      <c r="Q19" s="11">
        <f>SUMIFS('Amortised cost 31.12.2023'!FQ:FQ,'Amortised cost 31.12.2023'!B:B,'NTFS - Supporting'!B19)-K19</f>
        <v>0</v>
      </c>
    </row>
    <row r="20" spans="1:17">
      <c r="A20" s="134" t="s">
        <v>87</v>
      </c>
      <c r="B20" s="121" t="s">
        <v>95</v>
      </c>
      <c r="C20" s="121" t="s">
        <v>84</v>
      </c>
      <c r="D20" s="121" t="s">
        <v>95</v>
      </c>
      <c r="E20" s="121" t="s">
        <v>96</v>
      </c>
      <c r="F20" s="143" t="s">
        <v>31</v>
      </c>
      <c r="G20" s="224">
        <f>SUMIFS('AC 31.12.2022'!C:C,'AC 31.12.2022'!$B:$B,D20)</f>
        <v>0</v>
      </c>
      <c r="H20" s="224">
        <f>SUMIFS('AC 31.12.2022'!D:D,'AC 31.12.2022'!$B:$B,D20)</f>
        <v>0</v>
      </c>
      <c r="I20" s="224">
        <f>SUMIFS('AC 31.12.2022'!E:E,'AC 31.12.2022'!$B:$B,D20)</f>
        <v>0</v>
      </c>
      <c r="J20" s="11">
        <f>SUMIFS('Fair value 31.12.2023'!J:J,'Fair value 31.12.2023'!B:B,B20,'Fair value 31.12.2023'!A:A,A20)</f>
        <v>25135589502.307583</v>
      </c>
      <c r="K20" s="11">
        <f>SUMIFS('Amortised cost 31.12.2023'!FQ:FQ,'Amortised cost 31.12.2023'!C:C,D20,'Amortised cost 31.12.2023'!A:A,A20)</f>
        <v>25119166392.57885</v>
      </c>
      <c r="L20" s="11">
        <f>SUMIFS('Amortised cost 31.12.2023'!F:F,'Amortised cost 31.12.2023'!C:C,D20,'Amortised cost 31.12.2023'!A:A,A20)</f>
        <v>25000000000</v>
      </c>
      <c r="M20" s="11">
        <f t="shared" si="3"/>
        <v>16423109.728733063</v>
      </c>
      <c r="N20" s="173">
        <f t="shared" si="2"/>
        <v>119166392.57884979</v>
      </c>
      <c r="P20" s="11">
        <f>SUMIFS('Amortised cost 31.12.2023'!F:F,'Amortised cost 31.12.2023'!B:B,'NTFS - Supporting'!B20)+SUMIFS('Amortised cost 31.12.2023'!P:P,'Amortised cost 31.12.2023'!B:B,'NTFS - Supporting'!B20)-J20</f>
        <v>-7164844.7733345032</v>
      </c>
      <c r="Q20" s="11">
        <f>SUMIFS('Amortised cost 31.12.2023'!FQ:FQ,'Amortised cost 31.12.2023'!B:B,'NTFS - Supporting'!B20)-K20</f>
        <v>0</v>
      </c>
    </row>
    <row r="21" spans="1:17">
      <c r="A21" s="134" t="s">
        <v>87</v>
      </c>
      <c r="B21" s="121" t="s">
        <v>27</v>
      </c>
      <c r="C21" s="121" t="s">
        <v>84</v>
      </c>
      <c r="D21" s="3" t="s">
        <v>27</v>
      </c>
      <c r="E21" s="121" t="s">
        <v>86</v>
      </c>
      <c r="F21" s="3" t="s">
        <v>14</v>
      </c>
      <c r="G21" s="224">
        <f>SUMIFS('AC 31.12.2022'!C:C,'AC 31.12.2022'!$B:$B,D21)</f>
        <v>0</v>
      </c>
      <c r="H21" s="224">
        <f>SUMIFS('AC 31.12.2022'!D:D,'AC 31.12.2022'!$B:$B,D21)</f>
        <v>0</v>
      </c>
      <c r="I21" s="224">
        <f>SUMIFS('AC 31.12.2022'!E:E,'AC 31.12.2022'!$B:$B,D21)</f>
        <v>0</v>
      </c>
      <c r="J21" s="11">
        <f>SUMIFS('Fair value 31.12.2023'!J:J,'Fair value 31.12.2023'!B:B,B21,'Fair value 31.12.2023'!A:A,A21)</f>
        <v>21626200000</v>
      </c>
      <c r="K21" s="11">
        <f>SUMIFS('Amortised cost 31.12.2023'!FQ:FQ,'Amortised cost 31.12.2023'!C:C,D21,'Amortised cost 31.12.2023'!A:A,A21)</f>
        <v>21552867983.006878</v>
      </c>
      <c r="L21" s="11">
        <f>SUMIFS('Amortised cost 31.12.2023'!F:F,'Amortised cost 31.12.2023'!C:C,D21,'Amortised cost 31.12.2023'!A:A,A21)</f>
        <v>21548400000</v>
      </c>
      <c r="M21" s="11">
        <f t="shared" si="3"/>
        <v>73332016.993122101</v>
      </c>
      <c r="N21" s="173">
        <f t="shared" si="2"/>
        <v>4467983.0068778992</v>
      </c>
      <c r="P21" s="11">
        <f>SUMIFS('Amortised cost 31.12.2023'!F:F,'Amortised cost 31.12.2023'!B:B,'NTFS - Supporting'!B21)+SUMIFS('Amortised cost 31.12.2023'!P:P,'Amortised cost 31.12.2023'!B:B,'NTFS - Supporting'!B21)-J21</f>
        <v>10779314465.725807</v>
      </c>
      <c r="Q21" s="11">
        <f>SUMIFS('Amortised cost 31.12.2023'!FQ:FQ,'Amortised cost 31.12.2023'!B:B,'NTFS - Supporting'!B21)-K21</f>
        <v>10778400481.684589</v>
      </c>
    </row>
    <row r="22" spans="1:17">
      <c r="A22" s="134" t="s">
        <v>83</v>
      </c>
      <c r="B22" s="121" t="s">
        <v>18</v>
      </c>
      <c r="C22" s="121" t="s">
        <v>84</v>
      </c>
      <c r="D22" s="3" t="s">
        <v>18</v>
      </c>
      <c r="E22" s="121" t="str">
        <f>VLOOKUP(D22,Sheet2!A:D,4,0)</f>
        <v>Private offering</v>
      </c>
      <c r="F22" s="3" t="s">
        <v>14</v>
      </c>
      <c r="G22" s="224">
        <f>SUMIFS('AC 31.12.2022'!C:C,'AC 31.12.2022'!$B:$B,D22)</f>
        <v>20443397260</v>
      </c>
      <c r="H22" s="224">
        <f>SUMIFS('AC 31.12.2022'!D:D,'AC 31.12.2022'!$B:$B,D22)</f>
        <v>21716853479</v>
      </c>
      <c r="I22" s="224">
        <f>SUMIFS('AC 31.12.2022'!E:E,'AC 31.12.2022'!$B:$B,D22)</f>
        <v>20000000000</v>
      </c>
      <c r="J22" s="11">
        <f>SUMIFS('Fair value 31.12.2023'!J:J,'Fair value 31.12.2023'!B:B,B22,'Fair value 31.12.2023'!A:A,A22)</f>
        <v>20514903903.493984</v>
      </c>
      <c r="K22" s="11">
        <f>SUMIFS('Amortised cost 31.12.2023'!FQ:FQ,'Amortised cost 31.12.2023'!C:C,D22,'Amortised cost 31.12.2023'!A:A,A22)</f>
        <v>20606539788.430408</v>
      </c>
      <c r="L22" s="11">
        <f>SUMIFS('Amortised cost 31.12.2023'!F:F,'Amortised cost 31.12.2023'!C:C,D22,'Amortised cost 31.12.2023'!A:A,A22)</f>
        <v>20000000000</v>
      </c>
      <c r="M22" s="11">
        <f t="shared" si="3"/>
        <v>-91635884.936424255</v>
      </c>
      <c r="N22" s="173">
        <f t="shared" si="2"/>
        <v>606539788.43040848</v>
      </c>
      <c r="P22" s="11">
        <f>SUMIFS('Amortised cost 31.12.2023'!F:F,'Amortised cost 31.12.2023'!B:B,'NTFS - Supporting'!B22)+SUMIFS('Amortised cost 31.12.2023'!P:P,'Amortised cost 31.12.2023'!B:B,'NTFS - Supporting'!B22)-J22</f>
        <v>-50520341.850147247</v>
      </c>
      <c r="Q22" s="11">
        <f>SUMIFS('Amortised cost 31.12.2023'!FQ:FQ,'Amortised cost 31.12.2023'!B:B,'NTFS - Supporting'!B22)-K22</f>
        <v>0</v>
      </c>
    </row>
    <row r="23" spans="1:17">
      <c r="A23" s="134" t="s">
        <v>83</v>
      </c>
      <c r="B23" s="121" t="s">
        <v>13</v>
      </c>
      <c r="C23" s="3" t="s">
        <v>89</v>
      </c>
      <c r="D23" s="3" t="s">
        <v>13</v>
      </c>
      <c r="E23" s="121" t="str">
        <f>VLOOKUP(D23,Sheet2!A:D,4,0)</f>
        <v>Private offering</v>
      </c>
      <c r="F23" s="3" t="s">
        <v>14</v>
      </c>
      <c r="G23" s="224">
        <f>SUMIFS('AC 31.12.2022'!C:C,'AC 31.12.2022'!$B:$B,D23)</f>
        <v>20443013699</v>
      </c>
      <c r="H23" s="224">
        <f>SUMIFS('AC 31.12.2022'!D:D,'AC 31.12.2022'!$B:$B,D23)</f>
        <v>20437893206</v>
      </c>
      <c r="I23" s="224">
        <f>SUMIFS('AC 31.12.2022'!E:E,'AC 31.12.2022'!$B:$B,D23)</f>
        <v>20000000000</v>
      </c>
      <c r="J23" s="11">
        <f>SUMIFS('Fair value 31.12.2023'!J:J,'Fair value 31.12.2023'!B:B,B23,'Fair value 31.12.2023'!A:A,A23)</f>
        <v>12763474253.254694</v>
      </c>
      <c r="K23" s="11">
        <f>SUMIFS('Amortised cost 31.12.2023'!FQ:FQ,'Amortised cost 31.12.2023'!C:C,D23,'Amortised cost 31.12.2023'!A:A,A23)</f>
        <v>12766083490.717894</v>
      </c>
      <c r="L23" s="11">
        <f>SUMIFS('Amortised cost 31.12.2023'!F:F,'Amortised cost 31.12.2023'!C:C,D23,'Amortised cost 31.12.2023'!A:A,A23)</f>
        <v>12500000000</v>
      </c>
      <c r="M23" s="11">
        <f t="shared" si="3"/>
        <v>-2609237.4631996155</v>
      </c>
      <c r="N23" s="173">
        <f t="shared" si="2"/>
        <v>266083490.7178936</v>
      </c>
      <c r="P23" s="11">
        <f>SUMIFS('Amortised cost 31.12.2023'!F:F,'Amortised cost 31.12.2023'!B:B,'NTFS - Supporting'!B23)+SUMIFS('Amortised cost 31.12.2023'!P:P,'Amortised cost 31.12.2023'!B:B,'NTFS - Supporting'!B23)-J23</f>
        <v>17005198.800100327</v>
      </c>
      <c r="Q23" s="11">
        <f>SUMIFS('Amortised cost 31.12.2023'!FQ:FQ,'Amortised cost 31.12.2023'!B:B,'NTFS - Supporting'!B23)-K23</f>
        <v>0</v>
      </c>
    </row>
    <row r="24" spans="1:17">
      <c r="A24" s="134" t="s">
        <v>83</v>
      </c>
      <c r="B24" s="121" t="s">
        <v>27</v>
      </c>
      <c r="C24" s="121" t="s">
        <v>84</v>
      </c>
      <c r="D24" s="3" t="s">
        <v>27</v>
      </c>
      <c r="E24" s="121" t="s">
        <v>86</v>
      </c>
      <c r="F24" s="3" t="s">
        <v>92</v>
      </c>
      <c r="G24" s="224">
        <f>SUMIFS('AC 31.12.2022'!C:C,'AC 31.12.2022'!$B:$B,D24)</f>
        <v>0</v>
      </c>
      <c r="H24" s="224">
        <f>SUMIFS('AC 31.12.2022'!D:D,'AC 31.12.2022'!$B:$B,D24)</f>
        <v>0</v>
      </c>
      <c r="I24" s="224">
        <f>SUMIFS('AC 31.12.2022'!E:E,'AC 31.12.2022'!$B:$B,D24)</f>
        <v>0</v>
      </c>
      <c r="J24" s="11">
        <f>SUMIFS('Fair value 31.12.2023'!J:J,'Fair value 31.12.2023'!B:B,B24,'Fair value 31.12.2023'!A:A,A24)</f>
        <v>10813100000</v>
      </c>
      <c r="K24" s="11">
        <f>SUMIFS('Amortised cost 31.12.2023'!FQ:FQ,'Amortised cost 31.12.2023'!C:C,D24,'Amortised cost 31.12.2023'!A:A,A24)</f>
        <v>10778400481.684591</v>
      </c>
      <c r="L24" s="11">
        <f>SUMIFS('Amortised cost 31.12.2023'!F:F,'Amortised cost 31.12.2023'!C:C,D24,'Amortised cost 31.12.2023'!A:A,A24)</f>
        <v>10774200000</v>
      </c>
      <c r="M24" s="11">
        <f t="shared" si="3"/>
        <v>34699518.315408707</v>
      </c>
      <c r="N24" s="173">
        <f t="shared" si="2"/>
        <v>4200481.6845912933</v>
      </c>
      <c r="P24" s="11">
        <f>SUMIFS('Amortised cost 31.12.2023'!F:F,'Amortised cost 31.12.2023'!B:B,'NTFS - Supporting'!B24)+SUMIFS('Amortised cost 31.12.2023'!P:P,'Amortised cost 31.12.2023'!B:B,'NTFS - Supporting'!B24)-J24</f>
        <v>21592414465.725807</v>
      </c>
      <c r="Q24" s="11">
        <f>SUMIFS('Amortised cost 31.12.2023'!FQ:FQ,'Amortised cost 31.12.2023'!B:B,'NTFS - Supporting'!B24)-K24</f>
        <v>21552867983.006874</v>
      </c>
    </row>
    <row r="25" spans="1:17">
      <c r="A25" s="134" t="s">
        <v>83</v>
      </c>
      <c r="B25" s="121" t="s">
        <v>38</v>
      </c>
      <c r="C25" s="121" t="s">
        <v>84</v>
      </c>
      <c r="D25" s="121" t="s">
        <v>38</v>
      </c>
      <c r="E25" s="121" t="str">
        <f>VLOOKUP(D25,Sheet2!A:D,4,0)</f>
        <v>CD</v>
      </c>
      <c r="F25" s="3" t="s">
        <v>31</v>
      </c>
      <c r="G25" s="224">
        <f>SUMIFS('AC 31.12.2022'!C:C,'AC 31.12.2022'!$B:$B,D25)</f>
        <v>0</v>
      </c>
      <c r="H25" s="224">
        <f>SUMIFS('AC 31.12.2022'!D:D,'AC 31.12.2022'!$B:$B,D25)</f>
        <v>0</v>
      </c>
      <c r="I25" s="224">
        <f>SUMIFS('AC 31.12.2022'!E:E,'AC 31.12.2022'!$B:$B,D25)</f>
        <v>0</v>
      </c>
      <c r="J25" s="11">
        <f>SUMIFS('Fair value 31.12.2023'!J:J,'Fair value 31.12.2023'!B:B,B25,'Fair value 31.12.2023'!A:A,A25)</f>
        <v>10660765630.653011</v>
      </c>
      <c r="K25" s="11">
        <f>SUMIFS('Amortised cost 31.12.2023'!FQ:FQ,'Amortised cost 31.12.2023'!C:C,D25,'Amortised cost 31.12.2023'!A:A,A25)</f>
        <v>10433404324.245785</v>
      </c>
      <c r="L25" s="11">
        <f>SUMIFS('Amortised cost 31.12.2023'!F:F,'Amortised cost 31.12.2023'!C:C,D25,'Amortised cost 31.12.2023'!A:A,A25)</f>
        <v>10000000000</v>
      </c>
      <c r="M25" s="11">
        <f t="shared" si="3"/>
        <v>227361306.40722656</v>
      </c>
      <c r="N25" s="173">
        <f t="shared" si="2"/>
        <v>433404324.24578476</v>
      </c>
      <c r="P25" s="11">
        <f>SUMIFS('Amortised cost 31.12.2023'!F:F,'Amortised cost 31.12.2023'!B:B,'NTFS - Supporting'!B25)+SUMIFS('Amortised cost 31.12.2023'!P:P,'Amortised cost 31.12.2023'!B:B,'NTFS - Supporting'!B25)-J25</f>
        <v>-211012205.99547768</v>
      </c>
      <c r="Q25" s="11">
        <f>SUMIFS('Amortised cost 31.12.2023'!FQ:FQ,'Amortised cost 31.12.2023'!B:B,'NTFS - Supporting'!B25)-K25</f>
        <v>0</v>
      </c>
    </row>
    <row r="26" spans="1:17">
      <c r="A26" s="134" t="s">
        <v>87</v>
      </c>
      <c r="B26" s="121" t="s">
        <v>97</v>
      </c>
      <c r="C26" s="121" t="s">
        <v>84</v>
      </c>
      <c r="D26" s="121" t="s">
        <v>97</v>
      </c>
      <c r="E26" s="121" t="str">
        <f>VLOOKUP(D26,Sheet2!A:D,4,0)</f>
        <v>CD</v>
      </c>
      <c r="F26" s="143" t="s">
        <v>31</v>
      </c>
      <c r="G26" s="224">
        <f>SUMIFS('AC 31.12.2022'!C:C,'AC 31.12.2022'!$B:$B,D26)</f>
        <v>0</v>
      </c>
      <c r="H26" s="224">
        <f>SUMIFS('AC 31.12.2022'!D:D,'AC 31.12.2022'!$B:$B,D26)</f>
        <v>0</v>
      </c>
      <c r="I26" s="224">
        <f>SUMIFS('AC 31.12.2022'!E:E,'AC 31.12.2022'!$B:$B,D26)</f>
        <v>0</v>
      </c>
      <c r="J26" s="11">
        <f>SUMIFS('Fair value 31.12.2023'!J:J,'Fair value 31.12.2023'!B:B,B26,'Fair value 31.12.2023'!A:A,A26)</f>
        <v>10651162455.992487</v>
      </c>
      <c r="K26" s="11">
        <f>SUMIFS('Amortised cost 31.12.2023'!FQ:FQ,'Amortised cost 31.12.2023'!C:C,D26,'Amortised cost 31.12.2023'!A:A,A26)</f>
        <v>10426459779.858599</v>
      </c>
      <c r="L26" s="11">
        <f>SUMIFS('Amortised cost 31.12.2023'!F:F,'Amortised cost 31.12.2023'!C:C,D26,'Amortised cost 31.12.2023'!A:A,A26)</f>
        <v>10177534250</v>
      </c>
      <c r="M26" s="11">
        <f t="shared" si="3"/>
        <v>224702676.13388824</v>
      </c>
      <c r="N26" s="173">
        <f t="shared" si="2"/>
        <v>248925529.85859871</v>
      </c>
      <c r="P26" s="11">
        <f>SUMIFS('Amortised cost 31.12.2023'!F:F,'Amortised cost 31.12.2023'!B:B,'NTFS - Supporting'!B26)+SUMIFS('Amortised cost 31.12.2023'!P:P,'Amortised cost 31.12.2023'!B:B,'NTFS - Supporting'!B26)-J26</f>
        <v>-216203548.45824051</v>
      </c>
      <c r="Q26" s="11">
        <f>SUMIFS('Amortised cost 31.12.2023'!FQ:FQ,'Amortised cost 31.12.2023'!B:B,'NTFS - Supporting'!B26)-K26</f>
        <v>0</v>
      </c>
    </row>
    <row r="27" spans="1:17">
      <c r="A27" s="134" t="s">
        <v>83</v>
      </c>
      <c r="B27" s="121" t="s">
        <v>39</v>
      </c>
      <c r="C27" s="121" t="s">
        <v>84</v>
      </c>
      <c r="D27" s="121" t="s">
        <v>39</v>
      </c>
      <c r="E27" s="121" t="str">
        <f>VLOOKUP(D27,Sheet2!A:D,4,0)</f>
        <v>CD</v>
      </c>
      <c r="F27" s="3" t="s">
        <v>31</v>
      </c>
      <c r="G27" s="224">
        <f>SUMIFS('AC 31.12.2022'!C:C,'AC 31.12.2022'!$B:$B,D27)</f>
        <v>0</v>
      </c>
      <c r="H27" s="224">
        <f>SUMIFS('AC 31.12.2022'!D:D,'AC 31.12.2022'!$B:$B,D27)</f>
        <v>0</v>
      </c>
      <c r="I27" s="224">
        <f>SUMIFS('AC 31.12.2022'!E:E,'AC 31.12.2022'!$B:$B,D27)</f>
        <v>0</v>
      </c>
      <c r="J27" s="11">
        <f>SUMIFS('Fair value 31.12.2023'!J:J,'Fair value 31.12.2023'!B:B,B27,'Fair value 31.12.2023'!A:A,A27)</f>
        <v>10620490390.055153</v>
      </c>
      <c r="K27" s="11">
        <f>SUMIFS('Amortised cost 31.12.2023'!FQ:FQ,'Amortised cost 31.12.2023'!C:C,D27,'Amortised cost 31.12.2023'!A:A,A27)</f>
        <v>10372023123.140816</v>
      </c>
      <c r="L27" s="11">
        <f>SUMIFS('Amortised cost 31.12.2023'!F:F,'Amortised cost 31.12.2023'!C:C,D27,'Amortised cost 31.12.2023'!A:A,A27)</f>
        <v>10000000000</v>
      </c>
      <c r="M27" s="11">
        <f t="shared" si="3"/>
        <v>248467266.91433716</v>
      </c>
      <c r="N27" s="173">
        <f t="shared" si="2"/>
        <v>372023123.14081573</v>
      </c>
      <c r="P27" s="11">
        <f>SUMIFS('Amortised cost 31.12.2023'!F:F,'Amortised cost 31.12.2023'!B:B,'NTFS - Supporting'!B27)+SUMIFS('Amortised cost 31.12.2023'!P:P,'Amortised cost 31.12.2023'!B:B,'NTFS - Supporting'!B27)-J27</f>
        <v>-232873951.69898796</v>
      </c>
      <c r="Q27" s="11">
        <f>SUMIFS('Amortised cost 31.12.2023'!FQ:FQ,'Amortised cost 31.12.2023'!B:B,'NTFS - Supporting'!B27)-K27</f>
        <v>0</v>
      </c>
    </row>
    <row r="28" spans="1:17">
      <c r="A28" s="134" t="s">
        <v>83</v>
      </c>
      <c r="B28" s="121" t="s">
        <v>20</v>
      </c>
      <c r="C28" s="121" t="s">
        <v>89</v>
      </c>
      <c r="D28" s="3" t="s">
        <v>20</v>
      </c>
      <c r="E28" s="121" t="str">
        <f>VLOOKUP(D28,Sheet2!A:D,4,0)</f>
        <v>Private offering</v>
      </c>
      <c r="F28" s="3" t="s">
        <v>14</v>
      </c>
      <c r="G28" s="224">
        <f>SUMIFS('AC 31.12.2022'!C:C,'AC 31.12.2022'!$B:$B,D28)</f>
        <v>6612649366</v>
      </c>
      <c r="H28" s="224">
        <f>SUMIFS('AC 31.12.2022'!D:D,'AC 31.12.2022'!$B:$B,D28)</f>
        <v>6452397844</v>
      </c>
      <c r="I28" s="224">
        <f>SUMIFS('AC 31.12.2022'!E:E,'AC 31.12.2022'!$B:$B,D28)</f>
        <v>6460413750</v>
      </c>
      <c r="J28" s="11">
        <f>SUMIFS('Fair value 31.12.2023'!J:J,'Fair value 31.12.2023'!B:B,B28,'Fair value 31.12.2023'!A:A,A28)</f>
        <v>6747380840.4247904</v>
      </c>
      <c r="K28" s="11">
        <f>SUMIFS('Amortised cost 31.12.2023'!FQ:FQ,'Amortised cost 31.12.2023'!C:C,D28,'Amortised cost 31.12.2023'!A:A,A28)</f>
        <v>6893607553.1166754</v>
      </c>
      <c r="L28" s="11">
        <f>SUMIFS('Amortised cost 31.12.2023'!F:F,'Amortised cost 31.12.2023'!C:C,D28,'Amortised cost 31.12.2023'!A:A,A28)</f>
        <v>5899600000</v>
      </c>
      <c r="M28" s="11">
        <f t="shared" si="3"/>
        <v>-146226712.69188499</v>
      </c>
      <c r="N28" s="173">
        <f t="shared" si="2"/>
        <v>994007553.11667538</v>
      </c>
      <c r="P28" s="11">
        <f>SUMIFS('Amortised cost 31.12.2023'!F:F,'Amortised cost 31.12.2023'!B:B,'NTFS - Supporting'!B28)+SUMIFS('Amortised cost 31.12.2023'!P:P,'Amortised cost 31.12.2023'!B:B,'NTFS - Supporting'!B28)-J28</f>
        <v>-560963300.69876289</v>
      </c>
      <c r="Q28" s="11">
        <f>SUMIFS('Amortised cost 31.12.2023'!FQ:FQ,'Amortised cost 31.12.2023'!B:B,'NTFS - Supporting'!B28)-K28</f>
        <v>0</v>
      </c>
    </row>
    <row r="29" spans="1:17">
      <c r="A29" s="134" t="s">
        <v>83</v>
      </c>
      <c r="B29" s="121" t="s">
        <v>21</v>
      </c>
      <c r="C29" s="121" t="s">
        <v>89</v>
      </c>
      <c r="D29" s="3" t="s">
        <v>21</v>
      </c>
      <c r="E29" s="121" t="str">
        <f>VLOOKUP(D29,Sheet2!A:D,4,0)</f>
        <v>Public offering</v>
      </c>
      <c r="F29" s="3" t="s">
        <v>14</v>
      </c>
      <c r="G29" s="224">
        <f>SUMIFS('AC 31.12.2022'!C:C,'AC 31.12.2022'!$B:$B,D29)</f>
        <v>5231293836</v>
      </c>
      <c r="H29" s="224">
        <f>SUMIFS('AC 31.12.2022'!D:D,'AC 31.12.2022'!$B:$B,D29)</f>
        <v>5147284875</v>
      </c>
      <c r="I29" s="224">
        <f>SUMIFS('AC 31.12.2022'!E:E,'AC 31.12.2022'!$B:$B,D29)</f>
        <v>5169650000</v>
      </c>
      <c r="J29" s="11">
        <f>SUMIFS('Fair value 31.12.2023'!J:J,'Fair value 31.12.2023'!B:B,B29,'Fair value 31.12.2023'!A:A,A29)</f>
        <v>5101100000</v>
      </c>
      <c r="K29" s="11">
        <f>SUMIFS('Amortised cost 31.12.2023'!FQ:FQ,'Amortised cost 31.12.2023'!C:C,D29,'Amortised cost 31.12.2023'!A:A,A29)</f>
        <v>5082201934.5358582</v>
      </c>
      <c r="L29" s="11">
        <f>SUMIFS('Amortised cost 31.12.2023'!F:F,'Amortised cost 31.12.2023'!C:C,D29,'Amortised cost 31.12.2023'!A:A,A29)</f>
        <v>5000000000</v>
      </c>
      <c r="M29" s="11">
        <f t="shared" si="3"/>
        <v>18898065.464141846</v>
      </c>
      <c r="N29" s="173">
        <f t="shared" si="2"/>
        <v>82201934.535858154</v>
      </c>
      <c r="P29" s="11">
        <f>SUMIFS('Amortised cost 31.12.2023'!F:F,'Amortised cost 31.12.2023'!B:B,'NTFS - Supporting'!B29)+SUMIFS('Amortised cost 31.12.2023'!P:P,'Amortised cost 31.12.2023'!B:B,'NTFS - Supporting'!B29)-J29</f>
        <v>-38086301.369862556</v>
      </c>
      <c r="Q29" s="11">
        <f>SUMIFS('Amortised cost 31.12.2023'!FQ:FQ,'Amortised cost 31.12.2023'!B:B,'NTFS - Supporting'!B29)-K29</f>
        <v>0</v>
      </c>
    </row>
    <row r="30" spans="1:17">
      <c r="A30" s="121" t="s">
        <v>83</v>
      </c>
      <c r="B30" s="121" t="s">
        <v>23</v>
      </c>
      <c r="C30" s="121" t="s">
        <v>89</v>
      </c>
      <c r="D30" s="3" t="s">
        <v>23</v>
      </c>
      <c r="E30" s="121" t="str">
        <f>VLOOKUP(D30,Sheet2!A:D,4,0)</f>
        <v>Private offering</v>
      </c>
      <c r="F30" s="3" t="s">
        <v>14</v>
      </c>
      <c r="G30" s="224">
        <f>SUMIFS('AC 31.12.2022'!C:C,'AC 31.12.2022'!$B:$B,D30)</f>
        <v>10241643836</v>
      </c>
      <c r="H30" s="224">
        <f>SUMIFS('AC 31.12.2022'!D:D,'AC 31.12.2022'!$B:$B,D30)</f>
        <v>10240655496</v>
      </c>
      <c r="I30" s="224">
        <f>SUMIFS('AC 31.12.2022'!E:E,'AC 31.12.2022'!$B:$B,D30)</f>
        <v>10000000000</v>
      </c>
      <c r="J30" s="11">
        <f>SUMIFS('Fair value 31.12.2023'!J:J,'Fair value 31.12.2023'!B:B,B30,'Fair value 31.12.2023'!A:A,A30)</f>
        <v>4096552415.4511328</v>
      </c>
      <c r="K30" s="11">
        <f>SUMIFS('Amortised cost 31.12.2023'!FQ:FQ,'Amortised cost 31.12.2023'!C:C,D30,'Amortised cost 31.12.2023'!A:A,A30)</f>
        <v>4092716509.9280615</v>
      </c>
      <c r="L30" s="11">
        <f>SUMIFS('Amortised cost 31.12.2023'!F:F,'Amortised cost 31.12.2023'!C:C,D30,'Amortised cost 31.12.2023'!A:A,A30)</f>
        <v>4000000000</v>
      </c>
      <c r="M30" s="11">
        <f t="shared" si="3"/>
        <v>3835905.5230712891</v>
      </c>
      <c r="N30" s="173">
        <f t="shared" si="2"/>
        <v>92716509.928061485</v>
      </c>
      <c r="P30" s="11">
        <f>SUMIFS('Amortised cost 31.12.2023'!F:F,'Amortised cost 31.12.2023'!B:B,'NTFS - Supporting'!B30)+SUMIFS('Amortised cost 31.12.2023'!P:P,'Amortised cost 31.12.2023'!B:B,'NTFS - Supporting'!B30)-J30</f>
        <v>1255803.7269492149</v>
      </c>
      <c r="Q30" s="11">
        <f>SUMIFS('Amortised cost 31.12.2023'!FQ:FQ,'Amortised cost 31.12.2023'!B:B,'NTFS - Supporting'!B30)-K30</f>
        <v>0</v>
      </c>
    </row>
    <row r="31" spans="1:17">
      <c r="A31" s="134" t="s">
        <v>83</v>
      </c>
      <c r="C31" s="121" t="s">
        <v>84</v>
      </c>
      <c r="D31" t="s">
        <v>98</v>
      </c>
      <c r="E31" s="121" t="str">
        <f>VLOOKUP(D31,Sheet2!A:D,4,0)</f>
        <v>Private offering</v>
      </c>
      <c r="F31" s="3" t="s">
        <v>14</v>
      </c>
      <c r="G31" s="224">
        <f>SUMIFS('AC 31.12.2022'!C:C,'AC 31.12.2022'!$B:$B,D31)</f>
        <v>125562000000</v>
      </c>
      <c r="H31" s="224">
        <f>SUMIFS('AC 31.12.2022'!D:D,'AC 31.12.2022'!$B:$B,D31)</f>
        <v>125435227368</v>
      </c>
      <c r="I31" s="224">
        <f>SUMIFS('AC 31.12.2022'!E:E,'AC 31.12.2022'!$B:$B,D31)</f>
        <v>120000000000</v>
      </c>
      <c r="J31" s="11">
        <f>SUMIFS('Fair value 31.12.2023'!J:J,'Fair value 31.12.2023'!B:B,B31,'Fair value 31.12.2023'!A:A,A31)</f>
        <v>0</v>
      </c>
      <c r="K31" s="11">
        <f>SUMIFS('Amortised cost 31.12.2023'!FQ:FQ,'Amortised cost 31.12.2023'!C:C,D31,'Amortised cost 31.12.2023'!A:A,A31)</f>
        <v>0</v>
      </c>
      <c r="L31" s="11">
        <f>SUMIFS('Amortised cost 31.12.2023'!F:F,'Amortised cost 31.12.2023'!C:C,D31,'Amortised cost 31.12.2023'!A:A,A31)</f>
        <v>0</v>
      </c>
      <c r="M31" s="11">
        <f t="shared" ref="M31:M58" si="4">J31-K31</f>
        <v>0</v>
      </c>
      <c r="N31" s="173">
        <f t="shared" ref="N31:N58" si="5">K31-L31</f>
        <v>0</v>
      </c>
    </row>
    <row r="32" spans="1:17">
      <c r="A32" s="134" t="s">
        <v>83</v>
      </c>
      <c r="C32" s="121" t="s">
        <v>89</v>
      </c>
      <c r="D32" t="s">
        <v>99</v>
      </c>
      <c r="E32" s="121" t="str">
        <f>VLOOKUP(D32,Sheet2!A:D,4,0)</f>
        <v>Private offering</v>
      </c>
      <c r="F32" s="3" t="s">
        <v>14</v>
      </c>
      <c r="G32" s="224">
        <f>SUMIFS('AC 31.12.2022'!C:C,'AC 31.12.2022'!$B:$B,D32)</f>
        <v>11323128082</v>
      </c>
      <c r="H32" s="224">
        <f>SUMIFS('AC 31.12.2022'!D:D,'AC 31.12.2022'!$B:$B,D32)</f>
        <v>11324777607</v>
      </c>
      <c r="I32" s="224">
        <f>SUMIFS('AC 31.12.2022'!E:E,'AC 31.12.2022'!$B:$B,D32)</f>
        <v>11025000000</v>
      </c>
      <c r="J32" s="11">
        <f>SUMIFS('Fair value 31.12.2023'!J:J,'Fair value 31.12.2023'!B:B,B32,'Fair value 31.12.2023'!A:A,A32)</f>
        <v>0</v>
      </c>
      <c r="K32" s="11">
        <f>SUMIFS('Amortised cost 31.12.2023'!FQ:FQ,'Amortised cost 31.12.2023'!C:C,D32,'Amortised cost 31.12.2023'!A:A,A32)</f>
        <v>0</v>
      </c>
      <c r="L32" s="11">
        <f>SUMIFS('Amortised cost 31.12.2023'!F:F,'Amortised cost 31.12.2023'!C:C,D32,'Amortised cost 31.12.2023'!A:A,A32)</f>
        <v>0</v>
      </c>
      <c r="M32" s="11">
        <f t="shared" si="4"/>
        <v>0</v>
      </c>
      <c r="N32" s="173">
        <f t="shared" si="5"/>
        <v>0</v>
      </c>
    </row>
    <row r="33" spans="1:14">
      <c r="A33" s="134" t="s">
        <v>83</v>
      </c>
      <c r="C33" s="121" t="s">
        <v>89</v>
      </c>
      <c r="D33" t="s">
        <v>100</v>
      </c>
      <c r="E33" s="121" t="str">
        <f>VLOOKUP(D33,Sheet2!A:D,4,0)</f>
        <v>Private offering</v>
      </c>
      <c r="F33" s="3" t="s">
        <v>14</v>
      </c>
      <c r="G33" s="224">
        <f>SUMIFS('AC 31.12.2022'!C:C,'AC 31.12.2022'!$B:$B,D33)</f>
        <v>10192328767</v>
      </c>
      <c r="H33" s="224">
        <f>SUMIFS('AC 31.12.2022'!D:D,'AC 31.12.2022'!$B:$B,D33)</f>
        <v>10297143661</v>
      </c>
      <c r="I33" s="224">
        <f>SUMIFS('AC 31.12.2022'!E:E,'AC 31.12.2022'!$B:$B,D33)</f>
        <v>10000000000</v>
      </c>
      <c r="J33" s="11">
        <f>SUMIFS('Fair value 31.12.2023'!J:J,'Fair value 31.12.2023'!B:B,B33,'Fair value 31.12.2023'!A:A,A33)</f>
        <v>0</v>
      </c>
      <c r="K33" s="11">
        <f>SUMIFS('Amortised cost 31.12.2023'!FQ:FQ,'Amortised cost 31.12.2023'!C:C,D33,'Amortised cost 31.12.2023'!A:A,A33)</f>
        <v>0</v>
      </c>
      <c r="L33" s="11">
        <f>SUMIFS('Amortised cost 31.12.2023'!F:F,'Amortised cost 31.12.2023'!C:C,D33,'Amortised cost 31.12.2023'!A:A,A33)</f>
        <v>0</v>
      </c>
      <c r="M33" s="11">
        <f t="shared" si="4"/>
        <v>0</v>
      </c>
      <c r="N33" s="173">
        <f t="shared" si="5"/>
        <v>0</v>
      </c>
    </row>
    <row r="34" spans="1:14">
      <c r="A34" s="134" t="s">
        <v>83</v>
      </c>
      <c r="C34" s="121" t="s">
        <v>89</v>
      </c>
      <c r="D34" t="s">
        <v>101</v>
      </c>
      <c r="E34" s="121" t="str">
        <f>VLOOKUP(D34,Sheet2!A:D,4,0)</f>
        <v>Private offering</v>
      </c>
      <c r="F34" s="3" t="s">
        <v>14</v>
      </c>
      <c r="G34" s="224">
        <f>SUMIFS('AC 31.12.2022'!C:C,'AC 31.12.2022'!$B:$B,D34)</f>
        <v>30683835616</v>
      </c>
      <c r="H34" s="224">
        <f>SUMIFS('AC 31.12.2022'!D:D,'AC 31.12.2022'!$B:$B,D34)</f>
        <v>30685630054</v>
      </c>
      <c r="I34" s="224">
        <f>SUMIFS('AC 31.12.2022'!E:E,'AC 31.12.2022'!$B:$B,D34)</f>
        <v>30000000000</v>
      </c>
      <c r="J34" s="11">
        <f>SUMIFS('Fair value 31.12.2023'!J:J,'Fair value 31.12.2023'!B:B,B34,'Fair value 31.12.2023'!A:A,A34)</f>
        <v>0</v>
      </c>
      <c r="K34" s="11">
        <f>SUMIFS('Amortised cost 31.12.2023'!FQ:FQ,'Amortised cost 31.12.2023'!C:C,D34,'Amortised cost 31.12.2023'!A:A,A34)</f>
        <v>0</v>
      </c>
      <c r="L34" s="11">
        <f>SUMIFS('Amortised cost 31.12.2023'!F:F,'Amortised cost 31.12.2023'!C:C,D34,'Amortised cost 31.12.2023'!A:A,A34)</f>
        <v>0</v>
      </c>
      <c r="M34" s="11">
        <f t="shared" si="4"/>
        <v>0</v>
      </c>
      <c r="N34" s="173">
        <f t="shared" si="5"/>
        <v>0</v>
      </c>
    </row>
    <row r="35" spans="1:14">
      <c r="A35" s="134" t="s">
        <v>83</v>
      </c>
      <c r="C35" s="121" t="s">
        <v>89</v>
      </c>
      <c r="D35" t="s">
        <v>102</v>
      </c>
      <c r="E35" s="121" t="str">
        <f>VLOOKUP(D35,Sheet2!A:D,4,0)</f>
        <v>Private offering</v>
      </c>
      <c r="F35" s="3" t="s">
        <v>14</v>
      </c>
      <c r="G35" s="224">
        <f>SUMIFS('AC 31.12.2022'!C:C,'AC 31.12.2022'!$B:$B,D35)</f>
        <v>13032410959</v>
      </c>
      <c r="H35" s="224">
        <f>SUMIFS('AC 31.12.2022'!D:D,'AC 31.12.2022'!$B:$B,D35)</f>
        <v>13032042804</v>
      </c>
      <c r="I35" s="224">
        <f>SUMIFS('AC 31.12.2022'!E:E,'AC 31.12.2022'!$B:$B,D35)</f>
        <v>13000000000</v>
      </c>
      <c r="J35" s="11">
        <f>SUMIFS('Fair value 31.12.2023'!J:J,'Fair value 31.12.2023'!B:B,B35,'Fair value 31.12.2023'!A:A,A35)</f>
        <v>0</v>
      </c>
      <c r="K35" s="11">
        <f>SUMIFS('Amortised cost 31.12.2023'!FQ:FQ,'Amortised cost 31.12.2023'!C:C,D35,'Amortised cost 31.12.2023'!A:A,A35)</f>
        <v>0</v>
      </c>
      <c r="L35" s="11">
        <f>SUMIFS('Amortised cost 31.12.2023'!F:F,'Amortised cost 31.12.2023'!C:C,D35,'Amortised cost 31.12.2023'!A:A,A35)</f>
        <v>0</v>
      </c>
      <c r="M35" s="11">
        <f t="shared" si="4"/>
        <v>0</v>
      </c>
      <c r="N35" s="173">
        <f t="shared" si="5"/>
        <v>0</v>
      </c>
    </row>
    <row r="36" spans="1:14">
      <c r="A36" s="134" t="s">
        <v>83</v>
      </c>
      <c r="C36" s="121" t="s">
        <v>89</v>
      </c>
      <c r="D36" t="s">
        <v>103</v>
      </c>
      <c r="E36" s="121" t="e">
        <f>VLOOKUP(D36,Sheet2!A:D,4,0)</f>
        <v>#N/A</v>
      </c>
      <c r="F36" s="3" t="s">
        <v>14</v>
      </c>
      <c r="G36" s="224">
        <f>SUMIFS('AC 31.12.2022'!C:C,'AC 31.12.2022'!$B:$B,D36)</f>
        <v>42937349429</v>
      </c>
      <c r="H36" s="224">
        <f>SUMIFS('AC 31.12.2022'!D:D,'AC 31.12.2022'!$B:$B,D36)</f>
        <v>42421591914</v>
      </c>
      <c r="I36" s="224">
        <f>SUMIFS('AC 31.12.2022'!E:E,'AC 31.12.2022'!$B:$B,D36)</f>
        <v>42848600000</v>
      </c>
      <c r="J36" s="11">
        <f>SUMIFS('Fair value 31.12.2023'!J:J,'Fair value 31.12.2023'!B:B,B36,'Fair value 31.12.2023'!A:A,A36)</f>
        <v>0</v>
      </c>
      <c r="K36" s="11">
        <f>SUMIFS('Amortised cost 31.12.2023'!FQ:FQ,'Amortised cost 31.12.2023'!C:C,D36,'Amortised cost 31.12.2023'!A:A,A36)</f>
        <v>0</v>
      </c>
      <c r="L36" s="11">
        <f>SUMIFS('Amortised cost 31.12.2023'!F:F,'Amortised cost 31.12.2023'!C:C,D36,'Amortised cost 31.12.2023'!A:A,A36)</f>
        <v>0</v>
      </c>
      <c r="M36" s="11">
        <f t="shared" si="4"/>
        <v>0</v>
      </c>
      <c r="N36" s="173">
        <f t="shared" si="5"/>
        <v>0</v>
      </c>
    </row>
    <row r="37" spans="1:14">
      <c r="A37" s="134" t="s">
        <v>83</v>
      </c>
      <c r="C37" s="121" t="s">
        <v>84</v>
      </c>
      <c r="D37" t="s">
        <v>104</v>
      </c>
      <c r="E37" s="121" t="str">
        <f>VLOOKUP(D37,Sheet2!A:D,4,0)</f>
        <v>Private offering</v>
      </c>
      <c r="F37" s="3" t="s">
        <v>14</v>
      </c>
      <c r="G37" s="224">
        <f>SUMIFS('AC 31.12.2022'!C:C,'AC 31.12.2022'!$B:$B,D37)</f>
        <v>7267536986</v>
      </c>
      <c r="H37" s="224">
        <f>SUMIFS('AC 31.12.2022'!D:D,'AC 31.12.2022'!$B:$B,D37)</f>
        <v>7034482607</v>
      </c>
      <c r="I37" s="224">
        <f>SUMIFS('AC 31.12.2022'!E:E,'AC 31.12.2022'!$B:$B,D37)</f>
        <v>7200000000</v>
      </c>
      <c r="J37" s="11">
        <f>SUMIFS('Fair value 31.12.2023'!J:J,'Fair value 31.12.2023'!B:B,B37,'Fair value 31.12.2023'!A:A,A37)</f>
        <v>0</v>
      </c>
      <c r="K37" s="11">
        <f>SUMIFS('Amortised cost 31.12.2023'!FQ:FQ,'Amortised cost 31.12.2023'!C:C,D37,'Amortised cost 31.12.2023'!A:A,A37)</f>
        <v>0</v>
      </c>
      <c r="L37" s="11">
        <f>SUMIFS('Amortised cost 31.12.2023'!F:F,'Amortised cost 31.12.2023'!C:C,D37,'Amortised cost 31.12.2023'!A:A,A37)</f>
        <v>0</v>
      </c>
      <c r="M37" s="11">
        <f t="shared" si="4"/>
        <v>0</v>
      </c>
      <c r="N37" s="173">
        <f t="shared" si="5"/>
        <v>0</v>
      </c>
    </row>
    <row r="38" spans="1:14">
      <c r="A38" s="134" t="s">
        <v>83</v>
      </c>
      <c r="C38" s="121" t="s">
        <v>84</v>
      </c>
      <c r="D38" t="s">
        <v>105</v>
      </c>
      <c r="E38" s="121" t="str">
        <f>VLOOKUP(D38,Sheet2!A:D,4,0)</f>
        <v>Private offering</v>
      </c>
      <c r="F38" s="3" t="s">
        <v>14</v>
      </c>
      <c r="G38" s="224">
        <f>SUMIFS('AC 31.12.2022'!C:C,'AC 31.12.2022'!$B:$B,D38)</f>
        <v>6558753767</v>
      </c>
      <c r="H38" s="224">
        <f>SUMIFS('AC 31.12.2022'!D:D,'AC 31.12.2022'!$B:$B,D38)</f>
        <v>6550960247</v>
      </c>
      <c r="I38" s="224">
        <f>SUMIFS('AC 31.12.2022'!E:E,'AC 31.12.2022'!$B:$B,D38)</f>
        <v>6500000000</v>
      </c>
      <c r="J38" s="11">
        <f>SUMIFS('Fair value 31.12.2023'!J:J,'Fair value 31.12.2023'!B:B,B38,'Fair value 31.12.2023'!A:A,A38)</f>
        <v>0</v>
      </c>
      <c r="K38" s="11">
        <f>SUMIFS('Amortised cost 31.12.2023'!FQ:FQ,'Amortised cost 31.12.2023'!C:C,D38,'Amortised cost 31.12.2023'!A:A,A38)</f>
        <v>0</v>
      </c>
      <c r="L38" s="11">
        <f>SUMIFS('Amortised cost 31.12.2023'!F:F,'Amortised cost 31.12.2023'!C:C,D38,'Amortised cost 31.12.2023'!A:A,A38)</f>
        <v>0</v>
      </c>
      <c r="M38" s="11">
        <f t="shared" si="4"/>
        <v>0</v>
      </c>
      <c r="N38" s="173">
        <f t="shared" si="5"/>
        <v>0</v>
      </c>
    </row>
    <row r="39" spans="1:14">
      <c r="A39" s="134" t="s">
        <v>83</v>
      </c>
      <c r="C39" s="121" t="s">
        <v>84</v>
      </c>
      <c r="D39" t="s">
        <v>106</v>
      </c>
      <c r="E39" s="121" t="str">
        <f>VLOOKUP(D39,Sheet2!A:D,4,0)</f>
        <v>Private offering</v>
      </c>
      <c r="F39" s="3" t="s">
        <v>14</v>
      </c>
      <c r="G39" s="224">
        <f>SUMIFS('AC 31.12.2022'!C:C,'AC 31.12.2022'!$B:$B,D39)</f>
        <v>503837329</v>
      </c>
      <c r="H39" s="224">
        <f>SUMIFS('AC 31.12.2022'!D:D,'AC 31.12.2022'!$B:$B,D39)</f>
        <v>503231343</v>
      </c>
      <c r="I39" s="224">
        <f>SUMIFS('AC 31.12.2022'!E:E,'AC 31.12.2022'!$B:$B,D39)</f>
        <v>500000000</v>
      </c>
      <c r="J39" s="11">
        <f>SUMIFS('Fair value 31.12.2023'!J:J,'Fair value 31.12.2023'!B:B,B39,'Fair value 31.12.2023'!A:A,A39)</f>
        <v>0</v>
      </c>
      <c r="K39" s="11">
        <f>SUMIFS('Amortised cost 31.12.2023'!FQ:FQ,'Amortised cost 31.12.2023'!C:C,D39,'Amortised cost 31.12.2023'!A:A,A39)</f>
        <v>0</v>
      </c>
      <c r="L39" s="11">
        <f>SUMIFS('Amortised cost 31.12.2023'!F:F,'Amortised cost 31.12.2023'!C:C,D39,'Amortised cost 31.12.2023'!A:A,A39)</f>
        <v>0</v>
      </c>
      <c r="M39" s="11">
        <f t="shared" si="4"/>
        <v>0</v>
      </c>
      <c r="N39" s="173">
        <f t="shared" si="5"/>
        <v>0</v>
      </c>
    </row>
    <row r="40" spans="1:14">
      <c r="A40" s="134" t="s">
        <v>83</v>
      </c>
      <c r="C40" s="121" t="s">
        <v>84</v>
      </c>
      <c r="D40" t="s">
        <v>107</v>
      </c>
      <c r="E40" s="121" t="str">
        <f>VLOOKUP(D40,Sheet2!A:D,4,0)</f>
        <v>Private offering</v>
      </c>
      <c r="F40" s="3" t="s">
        <v>14</v>
      </c>
      <c r="G40" s="224">
        <f>SUMIFS('AC 31.12.2022'!C:C,'AC 31.12.2022'!$B:$B,D40)</f>
        <v>2013302740</v>
      </c>
      <c r="H40" s="224">
        <f>SUMIFS('AC 31.12.2022'!D:D,'AC 31.12.2022'!$B:$B,D40)</f>
        <v>2010854453</v>
      </c>
      <c r="I40" s="224">
        <f>SUMIFS('AC 31.12.2022'!E:E,'AC 31.12.2022'!$B:$B,D40)</f>
        <v>2000000000</v>
      </c>
      <c r="J40" s="11">
        <f>SUMIFS('Fair value 31.12.2023'!J:J,'Fair value 31.12.2023'!B:B,B40,'Fair value 31.12.2023'!A:A,A40)</f>
        <v>0</v>
      </c>
      <c r="K40" s="11">
        <f>SUMIFS('Amortised cost 31.12.2023'!FQ:FQ,'Amortised cost 31.12.2023'!C:C,D40,'Amortised cost 31.12.2023'!A:A,A40)</f>
        <v>0</v>
      </c>
      <c r="L40" s="11">
        <f>SUMIFS('Amortised cost 31.12.2023'!F:F,'Amortised cost 31.12.2023'!C:C,D40,'Amortised cost 31.12.2023'!A:A,A40)</f>
        <v>0</v>
      </c>
      <c r="M40" s="11">
        <f t="shared" si="4"/>
        <v>0</v>
      </c>
      <c r="N40" s="173">
        <f t="shared" si="5"/>
        <v>0</v>
      </c>
    </row>
    <row r="41" spans="1:14">
      <c r="A41" s="134" t="s">
        <v>83</v>
      </c>
      <c r="C41" s="121" t="s">
        <v>84</v>
      </c>
      <c r="D41" t="s">
        <v>108</v>
      </c>
      <c r="E41" s="121" t="str">
        <f>VLOOKUP(D41,Sheet2!A:D,4,0)</f>
        <v>Private offering</v>
      </c>
      <c r="F41" s="3" t="s">
        <v>14</v>
      </c>
      <c r="G41" s="224">
        <f>SUMIFS('AC 31.12.2022'!C:C,'AC 31.12.2022'!$B:$B,D41)</f>
        <v>4022512329</v>
      </c>
      <c r="H41" s="224">
        <f>SUMIFS('AC 31.12.2022'!D:D,'AC 31.12.2022'!$B:$B,D41)</f>
        <v>4018236443</v>
      </c>
      <c r="I41" s="224">
        <f>SUMIFS('AC 31.12.2022'!E:E,'AC 31.12.2022'!$B:$B,D41)</f>
        <v>4000000000</v>
      </c>
      <c r="J41" s="11">
        <f>SUMIFS('Fair value 31.12.2023'!J:J,'Fair value 31.12.2023'!B:B,B41,'Fair value 31.12.2023'!A:A,A41)</f>
        <v>0</v>
      </c>
      <c r="K41" s="11">
        <f>SUMIFS('Amortised cost 31.12.2023'!FQ:FQ,'Amortised cost 31.12.2023'!C:C,D41,'Amortised cost 31.12.2023'!A:A,A41)</f>
        <v>0</v>
      </c>
      <c r="L41" s="11">
        <f>SUMIFS('Amortised cost 31.12.2023'!F:F,'Amortised cost 31.12.2023'!C:C,D41,'Amortised cost 31.12.2023'!A:A,A41)</f>
        <v>0</v>
      </c>
      <c r="M41" s="11">
        <f t="shared" si="4"/>
        <v>0</v>
      </c>
      <c r="N41" s="173">
        <f t="shared" si="5"/>
        <v>0</v>
      </c>
    </row>
    <row r="42" spans="1:14">
      <c r="A42" s="134" t="s">
        <v>83</v>
      </c>
      <c r="C42" s="121" t="s">
        <v>84</v>
      </c>
      <c r="D42" t="s">
        <v>109</v>
      </c>
      <c r="E42" s="121" t="str">
        <f>VLOOKUP(D42,Sheet2!A:D,4,0)</f>
        <v>Private offering</v>
      </c>
      <c r="F42" s="3" t="s">
        <v>14</v>
      </c>
      <c r="G42" s="224">
        <f>SUMIFS('AC 31.12.2022'!C:C,'AC 31.12.2022'!$B:$B,D42)</f>
        <v>1507930479</v>
      </c>
      <c r="H42" s="224">
        <f>SUMIFS('AC 31.12.2022'!D:D,'AC 31.12.2022'!$B:$B,D42)</f>
        <v>1506072608</v>
      </c>
      <c r="I42" s="224">
        <f>SUMIFS('AC 31.12.2022'!E:E,'AC 31.12.2022'!$B:$B,D42)</f>
        <v>1500000000</v>
      </c>
      <c r="J42" s="11">
        <f>SUMIFS('Fair value 31.12.2023'!J:J,'Fair value 31.12.2023'!B:B,B42,'Fair value 31.12.2023'!A:A,A42)</f>
        <v>0</v>
      </c>
      <c r="K42" s="11">
        <f>SUMIFS('Amortised cost 31.12.2023'!FQ:FQ,'Amortised cost 31.12.2023'!C:C,D42,'Amortised cost 31.12.2023'!A:A,A42)</f>
        <v>0</v>
      </c>
      <c r="L42" s="11">
        <f>SUMIFS('Amortised cost 31.12.2023'!F:F,'Amortised cost 31.12.2023'!C:C,D42,'Amortised cost 31.12.2023'!A:A,A42)</f>
        <v>0</v>
      </c>
      <c r="M42" s="11">
        <f t="shared" si="4"/>
        <v>0</v>
      </c>
      <c r="N42" s="173">
        <f t="shared" si="5"/>
        <v>0</v>
      </c>
    </row>
    <row r="43" spans="1:14">
      <c r="A43" s="134" t="s">
        <v>83</v>
      </c>
      <c r="C43" s="121" t="s">
        <v>84</v>
      </c>
      <c r="D43" t="s">
        <v>110</v>
      </c>
      <c r="E43" s="121" t="str">
        <f>VLOOKUP(D43,Sheet2!A:D,4,0)</f>
        <v>Private offering</v>
      </c>
      <c r="F43" s="3" t="s">
        <v>14</v>
      </c>
      <c r="G43" s="224">
        <f>SUMIFS('AC 31.12.2022'!C:C,'AC 31.12.2022'!$B:$B,D43)</f>
        <v>4017054795</v>
      </c>
      <c r="H43" s="224">
        <f>SUMIFS('AC 31.12.2022'!D:D,'AC 31.12.2022'!$B:$B,D43)</f>
        <v>4012050342</v>
      </c>
      <c r="I43" s="224">
        <f>SUMIFS('AC 31.12.2022'!E:E,'AC 31.12.2022'!$B:$B,D43)</f>
        <v>4000000000</v>
      </c>
      <c r="J43" s="11">
        <f>SUMIFS('Fair value 31.12.2023'!J:J,'Fair value 31.12.2023'!B:B,B43,'Fair value 31.12.2023'!A:A,A43)</f>
        <v>0</v>
      </c>
      <c r="K43" s="11">
        <f>SUMIFS('Amortised cost 31.12.2023'!FQ:FQ,'Amortised cost 31.12.2023'!C:C,D43,'Amortised cost 31.12.2023'!A:A,A43)</f>
        <v>0</v>
      </c>
      <c r="L43" s="11">
        <f>SUMIFS('Amortised cost 31.12.2023'!F:F,'Amortised cost 31.12.2023'!C:C,D43,'Amortised cost 31.12.2023'!A:A,A43)</f>
        <v>0</v>
      </c>
      <c r="M43" s="11">
        <f t="shared" si="4"/>
        <v>0</v>
      </c>
      <c r="N43" s="173">
        <f t="shared" si="5"/>
        <v>0</v>
      </c>
    </row>
    <row r="44" spans="1:14">
      <c r="A44" s="134" t="s">
        <v>83</v>
      </c>
      <c r="C44" s="121" t="s">
        <v>84</v>
      </c>
      <c r="D44" t="s">
        <v>111</v>
      </c>
      <c r="E44" s="121" t="str">
        <f>VLOOKUP(D44,Sheet2!A:D,4,0)</f>
        <v>Private offering</v>
      </c>
      <c r="F44" s="3" t="s">
        <v>14</v>
      </c>
      <c r="G44" s="224">
        <f>SUMIFS('AC 31.12.2022'!C:C,'AC 31.12.2022'!$B:$B,D44)</f>
        <v>1503325685</v>
      </c>
      <c r="H44" s="224">
        <f>SUMIFS('AC 31.12.2022'!D:D,'AC 31.12.2022'!$B:$B,D44)</f>
        <v>1502638237</v>
      </c>
      <c r="I44" s="224">
        <f>SUMIFS('AC 31.12.2022'!E:E,'AC 31.12.2022'!$B:$B,D44)</f>
        <v>1500000000</v>
      </c>
      <c r="J44" s="11">
        <f>SUMIFS('Fair value 31.12.2023'!J:J,'Fair value 31.12.2023'!B:B,B44,'Fair value 31.12.2023'!A:A,A44)</f>
        <v>0</v>
      </c>
      <c r="K44" s="11">
        <f>SUMIFS('Amortised cost 31.12.2023'!FQ:FQ,'Amortised cost 31.12.2023'!C:C,D44,'Amortised cost 31.12.2023'!A:A,A44)</f>
        <v>0</v>
      </c>
      <c r="L44" s="11">
        <f>SUMIFS('Amortised cost 31.12.2023'!F:F,'Amortised cost 31.12.2023'!C:C,D44,'Amortised cost 31.12.2023'!A:A,A44)</f>
        <v>0</v>
      </c>
      <c r="M44" s="11">
        <f t="shared" si="4"/>
        <v>0</v>
      </c>
      <c r="N44" s="173">
        <f t="shared" si="5"/>
        <v>0</v>
      </c>
    </row>
    <row r="45" spans="1:14">
      <c r="A45" s="134" t="s">
        <v>83</v>
      </c>
      <c r="C45" s="121" t="s">
        <v>84</v>
      </c>
      <c r="D45" t="s">
        <v>112</v>
      </c>
      <c r="E45" s="121" t="str">
        <f>VLOOKUP(D45,Sheet2!A:D,4,0)</f>
        <v>Private offering</v>
      </c>
      <c r="F45" s="3" t="s">
        <v>14</v>
      </c>
      <c r="G45" s="224">
        <f>SUMIFS('AC 31.12.2022'!C:C,'AC 31.12.2022'!$B:$B,D45)</f>
        <v>500938014</v>
      </c>
      <c r="H45" s="224">
        <f>SUMIFS('AC 31.12.2022'!D:D,'AC 31.12.2022'!$B:$B,D45)</f>
        <v>500748428</v>
      </c>
      <c r="I45" s="224">
        <f>SUMIFS('AC 31.12.2022'!E:E,'AC 31.12.2022'!$B:$B,D45)</f>
        <v>500000000</v>
      </c>
      <c r="J45" s="11">
        <f>SUMIFS('Fair value 31.12.2023'!J:J,'Fair value 31.12.2023'!B:B,B45,'Fair value 31.12.2023'!A:A,A45)</f>
        <v>0</v>
      </c>
      <c r="K45" s="11">
        <f>SUMIFS('Amortised cost 31.12.2023'!FQ:FQ,'Amortised cost 31.12.2023'!C:C,D45,'Amortised cost 31.12.2023'!A:A,A45)</f>
        <v>0</v>
      </c>
      <c r="L45" s="11">
        <f>SUMIFS('Amortised cost 31.12.2023'!F:F,'Amortised cost 31.12.2023'!C:C,D45,'Amortised cost 31.12.2023'!A:A,A45)</f>
        <v>0</v>
      </c>
      <c r="M45" s="11">
        <f t="shared" si="4"/>
        <v>0</v>
      </c>
      <c r="N45" s="173">
        <f t="shared" si="5"/>
        <v>0</v>
      </c>
    </row>
    <row r="46" spans="1:14">
      <c r="A46" s="134" t="s">
        <v>83</v>
      </c>
      <c r="C46" s="121" t="s">
        <v>84</v>
      </c>
      <c r="D46" t="s">
        <v>113</v>
      </c>
      <c r="E46" s="121" t="str">
        <f>VLOOKUP(D46,Sheet2!A:D,4,0)</f>
        <v>Private offering</v>
      </c>
      <c r="F46" s="3" t="s">
        <v>14</v>
      </c>
      <c r="G46" s="224">
        <f>SUMIFS('AC 31.12.2022'!C:C,'AC 31.12.2022'!$B:$B,D46)</f>
        <v>3101586096</v>
      </c>
      <c r="H46" s="224">
        <f>SUMIFS('AC 31.12.2022'!D:D,'AC 31.12.2022'!$B:$B,D46)</f>
        <v>3100628393</v>
      </c>
      <c r="I46" s="224">
        <f>SUMIFS('AC 31.12.2022'!E:E,'AC 31.12.2022'!$B:$B,D46)</f>
        <v>3100000000</v>
      </c>
      <c r="J46" s="11">
        <f>SUMIFS('Fair value 31.12.2023'!J:J,'Fair value 31.12.2023'!B:B,B46,'Fair value 31.12.2023'!A:A,A46)</f>
        <v>0</v>
      </c>
      <c r="K46" s="11">
        <f>SUMIFS('Amortised cost 31.12.2023'!FQ:FQ,'Amortised cost 31.12.2023'!C:C,D46,'Amortised cost 31.12.2023'!A:A,A46)</f>
        <v>0</v>
      </c>
      <c r="L46" s="11">
        <f>SUMIFS('Amortised cost 31.12.2023'!F:F,'Amortised cost 31.12.2023'!C:C,D46,'Amortised cost 31.12.2023'!A:A,A46)</f>
        <v>0</v>
      </c>
      <c r="M46" s="11">
        <f t="shared" si="4"/>
        <v>0</v>
      </c>
      <c r="N46" s="173">
        <f t="shared" si="5"/>
        <v>0</v>
      </c>
    </row>
    <row r="47" spans="1:14">
      <c r="A47" s="134" t="s">
        <v>83</v>
      </c>
      <c r="C47" s="121" t="s">
        <v>84</v>
      </c>
      <c r="D47" t="s">
        <v>114</v>
      </c>
      <c r="E47" s="121" t="str">
        <f>VLOOKUP(D47,Sheet2!A:D,4,0)</f>
        <v>Private offering</v>
      </c>
      <c r="F47" s="3" t="s">
        <v>14</v>
      </c>
      <c r="G47" s="224">
        <f>SUMIFS('AC 31.12.2022'!C:C,'AC 31.12.2022'!$B:$B,D47)</f>
        <v>2007163014</v>
      </c>
      <c r="H47" s="224">
        <f>SUMIFS('AC 31.12.2022'!D:D,'AC 31.12.2022'!$B:$B,D47)</f>
        <v>2005092565</v>
      </c>
      <c r="I47" s="224">
        <f>SUMIFS('AC 31.12.2022'!E:E,'AC 31.12.2022'!$B:$B,D47)</f>
        <v>2000000000</v>
      </c>
      <c r="J47" s="11">
        <f>SUMIFS('Fair value 31.12.2023'!J:J,'Fair value 31.12.2023'!B:B,B47,'Fair value 31.12.2023'!A:A,A47)</f>
        <v>0</v>
      </c>
      <c r="K47" s="11">
        <f>SUMIFS('Amortised cost 31.12.2023'!FQ:FQ,'Amortised cost 31.12.2023'!C:C,D47,'Amortised cost 31.12.2023'!A:A,A47)</f>
        <v>0</v>
      </c>
      <c r="L47" s="11">
        <f>SUMIFS('Amortised cost 31.12.2023'!F:F,'Amortised cost 31.12.2023'!C:C,D47,'Amortised cost 31.12.2023'!A:A,A47)</f>
        <v>0</v>
      </c>
      <c r="M47" s="11">
        <f t="shared" si="4"/>
        <v>0</v>
      </c>
      <c r="N47" s="173">
        <f t="shared" si="5"/>
        <v>0</v>
      </c>
    </row>
    <row r="48" spans="1:14">
      <c r="A48" s="134" t="s">
        <v>83</v>
      </c>
      <c r="C48" s="121" t="s">
        <v>84</v>
      </c>
      <c r="D48" t="s">
        <v>115</v>
      </c>
      <c r="E48" s="121" t="str">
        <f>VLOOKUP(D48,Sheet2!A:D,4,0)</f>
        <v>Private offering</v>
      </c>
      <c r="F48" s="3" t="s">
        <v>14</v>
      </c>
      <c r="G48" s="224">
        <f>SUMIFS('AC 31.12.2022'!C:C,'AC 31.12.2022'!$B:$B,D48)</f>
        <v>502984589</v>
      </c>
      <c r="H48" s="224">
        <f>SUMIFS('AC 31.12.2022'!D:D,'AC 31.12.2022'!$B:$B,D48)</f>
        <v>502372610</v>
      </c>
      <c r="I48" s="224">
        <f>SUMIFS('AC 31.12.2022'!E:E,'AC 31.12.2022'!$B:$B,D48)</f>
        <v>500000000</v>
      </c>
      <c r="J48" s="11">
        <f>SUMIFS('Fair value 31.12.2023'!J:J,'Fair value 31.12.2023'!B:B,B48,'Fair value 31.12.2023'!A:A,A48)</f>
        <v>0</v>
      </c>
      <c r="K48" s="11">
        <f>SUMIFS('Amortised cost 31.12.2023'!FQ:FQ,'Amortised cost 31.12.2023'!C:C,D48,'Amortised cost 31.12.2023'!A:A,A48)</f>
        <v>0</v>
      </c>
      <c r="L48" s="11">
        <f>SUMIFS('Amortised cost 31.12.2023'!F:F,'Amortised cost 31.12.2023'!C:C,D48,'Amortised cost 31.12.2023'!A:A,A48)</f>
        <v>0</v>
      </c>
      <c r="M48" s="11">
        <f t="shared" si="4"/>
        <v>0</v>
      </c>
      <c r="N48" s="173">
        <f t="shared" si="5"/>
        <v>0</v>
      </c>
    </row>
    <row r="49" spans="1:14">
      <c r="A49" s="134" t="s">
        <v>83</v>
      </c>
      <c r="C49" s="121" t="s">
        <v>84</v>
      </c>
      <c r="D49" t="s">
        <v>116</v>
      </c>
      <c r="E49" s="121" t="str">
        <f>VLOOKUP(D49,Sheet2!A:D,4,0)</f>
        <v>Private offering</v>
      </c>
      <c r="F49" s="3" t="s">
        <v>14</v>
      </c>
      <c r="G49" s="224">
        <f>SUMIFS('AC 31.12.2022'!C:C,'AC 31.12.2022'!$B:$B,D49)</f>
        <v>501449658</v>
      </c>
      <c r="H49" s="224">
        <f>SUMIFS('AC 31.12.2022'!D:D,'AC 31.12.2022'!$B:$B,D49)</f>
        <v>501065169</v>
      </c>
      <c r="I49" s="224">
        <f>SUMIFS('AC 31.12.2022'!E:E,'AC 31.12.2022'!$B:$B,D49)</f>
        <v>500000000</v>
      </c>
      <c r="J49" s="11">
        <f>SUMIFS('Fair value 31.12.2023'!J:J,'Fair value 31.12.2023'!B:B,B49,'Fair value 31.12.2023'!A:A,A49)</f>
        <v>0</v>
      </c>
      <c r="K49" s="11">
        <f>SUMIFS('Amortised cost 31.12.2023'!FQ:FQ,'Amortised cost 31.12.2023'!C:C,D49,'Amortised cost 31.12.2023'!A:A,A49)</f>
        <v>0</v>
      </c>
      <c r="L49" s="11">
        <f>SUMIFS('Amortised cost 31.12.2023'!F:F,'Amortised cost 31.12.2023'!C:C,D49,'Amortised cost 31.12.2023'!A:A,A49)</f>
        <v>0</v>
      </c>
      <c r="M49" s="11">
        <f t="shared" si="4"/>
        <v>0</v>
      </c>
      <c r="N49" s="173">
        <f t="shared" si="5"/>
        <v>0</v>
      </c>
    </row>
    <row r="50" spans="1:14">
      <c r="A50" s="134" t="s">
        <v>83</v>
      </c>
      <c r="C50" s="121" t="s">
        <v>84</v>
      </c>
      <c r="D50" t="s">
        <v>117</v>
      </c>
      <c r="E50" s="121" t="str">
        <f>VLOOKUP(D50,Sheet2!A:D,4,0)</f>
        <v>Private offering</v>
      </c>
      <c r="F50" s="3" t="s">
        <v>14</v>
      </c>
      <c r="G50" s="224">
        <f>SUMIFS('AC 31.12.2022'!C:C,'AC 31.12.2022'!$B:$B,D50)</f>
        <v>1001193836</v>
      </c>
      <c r="H50" s="224">
        <f>SUMIFS('AC 31.12.2022'!D:D,'AC 31.12.2022'!$B:$B,D50)</f>
        <v>1000609672</v>
      </c>
      <c r="I50" s="224">
        <f>SUMIFS('AC 31.12.2022'!E:E,'AC 31.12.2022'!$B:$B,D50)</f>
        <v>1000000000</v>
      </c>
      <c r="J50" s="11">
        <f>SUMIFS('Fair value 31.12.2023'!J:J,'Fair value 31.12.2023'!B:B,B50,'Fair value 31.12.2023'!A:A,A50)</f>
        <v>0</v>
      </c>
      <c r="K50" s="11">
        <f>SUMIFS('Amortised cost 31.12.2023'!FQ:FQ,'Amortised cost 31.12.2023'!C:C,D50,'Amortised cost 31.12.2023'!A:A,A50)</f>
        <v>0</v>
      </c>
      <c r="L50" s="11">
        <f>SUMIFS('Amortised cost 31.12.2023'!F:F,'Amortised cost 31.12.2023'!C:C,D50,'Amortised cost 31.12.2023'!A:A,A50)</f>
        <v>0</v>
      </c>
      <c r="M50" s="11">
        <f t="shared" si="4"/>
        <v>0</v>
      </c>
      <c r="N50" s="173">
        <f t="shared" si="5"/>
        <v>0</v>
      </c>
    </row>
    <row r="51" spans="1:14">
      <c r="A51" s="134" t="s">
        <v>83</v>
      </c>
      <c r="C51" s="121" t="s">
        <v>84</v>
      </c>
      <c r="D51" t="s">
        <v>118</v>
      </c>
      <c r="E51" s="121" t="str">
        <f>VLOOKUP(D51,Sheet2!A:D,4,0)</f>
        <v>Private offering</v>
      </c>
      <c r="F51" s="3" t="s">
        <v>14</v>
      </c>
      <c r="G51" s="224">
        <f>SUMIFS('AC 31.12.2022'!C:C,'AC 31.12.2022'!$B:$B,D51)</f>
        <v>106510493932</v>
      </c>
      <c r="H51" s="224">
        <f>SUMIFS('AC 31.12.2022'!D:D,'AC 31.12.2022'!$B:$B,D51)</f>
        <v>106596540031</v>
      </c>
      <c r="I51" s="224">
        <f>SUMIFS('AC 31.12.2022'!E:E,'AC 31.12.2022'!$B:$B,D51)</f>
        <v>100959841877</v>
      </c>
      <c r="J51" s="11">
        <f>SUMIFS('Fair value 31.12.2023'!J:J,'Fair value 31.12.2023'!B:B,B51,'Fair value 31.12.2023'!A:A,A51)</f>
        <v>0</v>
      </c>
      <c r="K51" s="11">
        <f>SUMIFS('Amortised cost 31.12.2023'!FQ:FQ,'Amortised cost 31.12.2023'!C:C,D51,'Amortised cost 31.12.2023'!A:A,A51)</f>
        <v>0</v>
      </c>
      <c r="L51" s="11">
        <f>SUMIFS('Amortised cost 31.12.2023'!F:F,'Amortised cost 31.12.2023'!C:C,D51,'Amortised cost 31.12.2023'!A:A,A51)</f>
        <v>0</v>
      </c>
      <c r="M51" s="11">
        <f t="shared" si="4"/>
        <v>0</v>
      </c>
      <c r="N51" s="173">
        <f t="shared" si="5"/>
        <v>0</v>
      </c>
    </row>
    <row r="52" spans="1:14">
      <c r="A52" s="134" t="s">
        <v>83</v>
      </c>
      <c r="C52" s="121" t="s">
        <v>84</v>
      </c>
      <c r="D52" t="s">
        <v>119</v>
      </c>
      <c r="E52" s="121" t="str">
        <f>VLOOKUP(D52,Sheet2!A:D,4,0)</f>
        <v>Private offering</v>
      </c>
      <c r="F52" s="3" t="s">
        <v>14</v>
      </c>
      <c r="G52" s="224">
        <f>SUMIFS('AC 31.12.2022'!C:C,'AC 31.12.2022'!$B:$B,D52)</f>
        <v>212723287671</v>
      </c>
      <c r="H52" s="224">
        <f>SUMIFS('AC 31.12.2022'!D:D,'AC 31.12.2022'!$B:$B,D52)</f>
        <v>212575652330</v>
      </c>
      <c r="I52" s="224">
        <f>SUMIFS('AC 31.12.2022'!E:E,'AC 31.12.2022'!$B:$B,D52)</f>
        <v>200000000000</v>
      </c>
      <c r="J52" s="11">
        <f>SUMIFS('Fair value 31.12.2023'!J:J,'Fair value 31.12.2023'!B:B,B52,'Fair value 31.12.2023'!A:A,A52)</f>
        <v>0</v>
      </c>
      <c r="K52" s="11">
        <f>SUMIFS('Amortised cost 31.12.2023'!FQ:FQ,'Amortised cost 31.12.2023'!C:C,D52,'Amortised cost 31.12.2023'!A:A,A52)</f>
        <v>0</v>
      </c>
      <c r="L52" s="11">
        <f>SUMIFS('Amortised cost 31.12.2023'!F:F,'Amortised cost 31.12.2023'!C:C,D52,'Amortised cost 31.12.2023'!A:A,A52)</f>
        <v>0</v>
      </c>
      <c r="M52" s="11">
        <f t="shared" si="4"/>
        <v>0</v>
      </c>
      <c r="N52" s="173">
        <f t="shared" si="5"/>
        <v>0</v>
      </c>
    </row>
    <row r="53" spans="1:14">
      <c r="A53" s="134" t="s">
        <v>83</v>
      </c>
      <c r="C53" s="121" t="s">
        <v>84</v>
      </c>
      <c r="D53" t="s">
        <v>120</v>
      </c>
      <c r="E53" s="121" t="str">
        <f>VLOOKUP(D53,Sheet2!A:D,4,0)</f>
        <v>Private offering</v>
      </c>
      <c r="F53" s="3" t="s">
        <v>14</v>
      </c>
      <c r="G53" s="224">
        <f>SUMIFS('AC 31.12.2022'!C:C,'AC 31.12.2022'!$B:$B,D53)</f>
        <v>108291719482</v>
      </c>
      <c r="H53" s="224">
        <f>SUMIFS('AC 31.12.2022'!D:D,'AC 31.12.2022'!$B:$B,D53)</f>
        <v>108266046107</v>
      </c>
      <c r="I53" s="224">
        <f>SUMIFS('AC 31.12.2022'!E:E,'AC 31.12.2022'!$B:$B,D53)</f>
        <v>100449697564</v>
      </c>
      <c r="J53" s="11">
        <f>SUMIFS('Fair value 31.12.2023'!J:J,'Fair value 31.12.2023'!B:B,B53,'Fair value 31.12.2023'!A:A,A53)</f>
        <v>0</v>
      </c>
      <c r="K53" s="11">
        <f>SUMIFS('Amortised cost 31.12.2023'!FQ:FQ,'Amortised cost 31.12.2023'!C:C,D53,'Amortised cost 31.12.2023'!A:A,A53)</f>
        <v>0</v>
      </c>
      <c r="L53" s="11">
        <f>SUMIFS('Amortised cost 31.12.2023'!F:F,'Amortised cost 31.12.2023'!C:C,D53,'Amortised cost 31.12.2023'!A:A,A53)</f>
        <v>0</v>
      </c>
      <c r="M53" s="11">
        <f t="shared" si="4"/>
        <v>0</v>
      </c>
      <c r="N53" s="173">
        <f t="shared" si="5"/>
        <v>0</v>
      </c>
    </row>
    <row r="54" spans="1:14">
      <c r="A54" s="134" t="s">
        <v>83</v>
      </c>
      <c r="C54" s="121" t="s">
        <v>84</v>
      </c>
      <c r="D54" t="s">
        <v>121</v>
      </c>
      <c r="E54" s="121" t="str">
        <f>VLOOKUP(D54,Sheet2!A:D,4,0)</f>
        <v>Private offering</v>
      </c>
      <c r="F54" s="3" t="s">
        <v>14</v>
      </c>
      <c r="G54" s="224">
        <f>SUMIFS('AC 31.12.2022'!C:C,'AC 31.12.2022'!$B:$B,D54)</f>
        <v>53561870981</v>
      </c>
      <c r="H54" s="224">
        <f>SUMIFS('AC 31.12.2022'!D:D,'AC 31.12.2022'!$B:$B,D54)</f>
        <v>53537399220</v>
      </c>
      <c r="I54" s="224">
        <f>SUMIFS('AC 31.12.2022'!E:E,'AC 31.12.2022'!$B:$B,D54)</f>
        <v>50243684680</v>
      </c>
      <c r="J54" s="11">
        <f>SUMIFS('Fair value 31.12.2023'!J:J,'Fair value 31.12.2023'!B:B,B54,'Fair value 31.12.2023'!A:A,A54)</f>
        <v>0</v>
      </c>
      <c r="K54" s="11">
        <f>SUMIFS('Amortised cost 31.12.2023'!FQ:FQ,'Amortised cost 31.12.2023'!C:C,D54,'Amortised cost 31.12.2023'!A:A,A54)</f>
        <v>0</v>
      </c>
      <c r="L54" s="11">
        <f>SUMIFS('Amortised cost 31.12.2023'!F:F,'Amortised cost 31.12.2023'!C:C,D54,'Amortised cost 31.12.2023'!A:A,A54)</f>
        <v>0</v>
      </c>
      <c r="M54" s="11">
        <f t="shared" si="4"/>
        <v>0</v>
      </c>
      <c r="N54" s="173">
        <f t="shared" si="5"/>
        <v>0</v>
      </c>
    </row>
    <row r="55" spans="1:14">
      <c r="A55" s="134" t="s">
        <v>83</v>
      </c>
      <c r="C55" s="121" t="s">
        <v>89</v>
      </c>
      <c r="D55" t="s">
        <v>122</v>
      </c>
      <c r="E55" s="121" t="str">
        <f>VLOOKUP(D55,Sheet2!A:D,4,0)</f>
        <v>Public offering</v>
      </c>
      <c r="F55" s="3" t="s">
        <v>14</v>
      </c>
      <c r="G55" s="224">
        <f>SUMIFS('AC 31.12.2022'!C:C,'AC 31.12.2022'!$B:$B,D55)</f>
        <v>73846222159</v>
      </c>
      <c r="H55" s="224">
        <f>SUMIFS('AC 31.12.2022'!D:D,'AC 31.12.2022'!$B:$B,D55)</f>
        <v>73614459563</v>
      </c>
      <c r="I55" s="224">
        <f>SUMIFS('AC 31.12.2022'!E:E,'AC 31.12.2022'!$B:$B,D55)</f>
        <v>72885641450</v>
      </c>
      <c r="J55" s="11">
        <f>SUMIFS('Fair value 31.12.2023'!J:J,'Fair value 31.12.2023'!B:B,B55,'Fair value 31.12.2023'!A:A,A55)</f>
        <v>0</v>
      </c>
      <c r="K55" s="11">
        <f>SUMIFS('Amortised cost 31.12.2023'!FQ:FQ,'Amortised cost 31.12.2023'!C:C,D55,'Amortised cost 31.12.2023'!A:A,A55)</f>
        <v>0</v>
      </c>
      <c r="L55" s="11">
        <f>SUMIFS('Amortised cost 31.12.2023'!F:F,'Amortised cost 31.12.2023'!C:C,D55,'Amortised cost 31.12.2023'!A:A,A55)</f>
        <v>0</v>
      </c>
      <c r="M55" s="11">
        <f t="shared" si="4"/>
        <v>0</v>
      </c>
      <c r="N55" s="173">
        <f t="shared" si="5"/>
        <v>0</v>
      </c>
    </row>
    <row r="56" spans="1:14">
      <c r="A56" s="134" t="s">
        <v>83</v>
      </c>
      <c r="C56" s="121" t="s">
        <v>84</v>
      </c>
      <c r="D56" t="s">
        <v>123</v>
      </c>
      <c r="E56" s="121" t="str">
        <f>VLOOKUP(D56,Sheet2!A:D,4,0)</f>
        <v>CD</v>
      </c>
      <c r="F56" t="s">
        <v>31</v>
      </c>
      <c r="G56" s="224">
        <f>SUMIFS('AC 31.12.2022'!C:C,'AC 31.12.2022'!$B:$B,D56)</f>
        <v>51618805428</v>
      </c>
      <c r="H56" s="224">
        <f>SUMIFS('AC 31.12.2022'!D:D,'AC 31.12.2022'!$B:$B,D56)</f>
        <v>46809372197</v>
      </c>
      <c r="I56" s="224">
        <f>SUMIFS('AC 31.12.2022'!E:E,'AC 31.12.2022'!$B:$B,D56)</f>
        <v>46800082140</v>
      </c>
      <c r="J56" s="11">
        <f>SUMIFS('Fair value 31.12.2023'!J:J,'Fair value 31.12.2023'!B:B,B56,'Fair value 31.12.2023'!A:A,A56)</f>
        <v>0</v>
      </c>
      <c r="K56" s="11">
        <f>SUMIFS('Amortised cost 31.12.2023'!FQ:FQ,'Amortised cost 31.12.2023'!C:C,D56,'Amortised cost 31.12.2023'!A:A,A56)</f>
        <v>0</v>
      </c>
      <c r="L56" s="11">
        <f>SUMIFS('Amortised cost 31.12.2023'!F:F,'Amortised cost 31.12.2023'!C:C,D56,'Amortised cost 31.12.2023'!A:A,A56)</f>
        <v>0</v>
      </c>
      <c r="M56" s="11">
        <f t="shared" si="4"/>
        <v>0</v>
      </c>
      <c r="N56" s="173">
        <f t="shared" si="5"/>
        <v>0</v>
      </c>
    </row>
    <row r="57" spans="1:14">
      <c r="A57" s="134" t="s">
        <v>83</v>
      </c>
      <c r="C57" s="121" t="s">
        <v>84</v>
      </c>
      <c r="D57" t="s">
        <v>124</v>
      </c>
      <c r="E57" s="121" t="str">
        <f>VLOOKUP(D57,Sheet2!A:D,4,0)</f>
        <v>CD</v>
      </c>
      <c r="F57" t="s">
        <v>31</v>
      </c>
      <c r="G57" s="224">
        <f>SUMIFS('AC 31.12.2022'!C:C,'AC 31.12.2022'!$B:$B,D57)</f>
        <v>11082739727</v>
      </c>
      <c r="H57" s="224">
        <f>SUMIFS('AC 31.12.2022'!D:D,'AC 31.12.2022'!$B:$B,D57)</f>
        <v>11043015475</v>
      </c>
      <c r="I57" s="224">
        <f>SUMIFS('AC 31.12.2022'!E:E,'AC 31.12.2022'!$B:$B,D57)</f>
        <v>10903013700</v>
      </c>
      <c r="J57" s="11">
        <f>SUMIFS('Fair value 31.12.2023'!J:J,'Fair value 31.12.2023'!B:B,B57,'Fair value 31.12.2023'!A:A,A57)</f>
        <v>0</v>
      </c>
      <c r="K57" s="11">
        <f>SUMIFS('Amortised cost 31.12.2023'!FQ:FQ,'Amortised cost 31.12.2023'!C:C,D57,'Amortised cost 31.12.2023'!A:A,A57)</f>
        <v>0</v>
      </c>
      <c r="L57" s="11">
        <f>SUMIFS('Amortised cost 31.12.2023'!F:F,'Amortised cost 31.12.2023'!C:C,D57,'Amortised cost 31.12.2023'!A:A,A57)</f>
        <v>0</v>
      </c>
      <c r="M57" s="11">
        <f t="shared" si="4"/>
        <v>0</v>
      </c>
      <c r="N57" s="173">
        <f t="shared" si="5"/>
        <v>0</v>
      </c>
    </row>
    <row r="58" spans="1:14">
      <c r="A58" s="134" t="s">
        <v>83</v>
      </c>
      <c r="C58" s="121" t="s">
        <v>84</v>
      </c>
      <c r="D58" t="s">
        <v>125</v>
      </c>
      <c r="E58" s="121" t="str">
        <f>VLOOKUP(D58,Sheet2!A:D,4,0)</f>
        <v>CD</v>
      </c>
      <c r="F58" t="s">
        <v>31</v>
      </c>
      <c r="G58" s="224">
        <f>SUMIFS('AC 31.12.2022'!C:C,'AC 31.12.2022'!$B:$B,D58)</f>
        <v>21762027405</v>
      </c>
      <c r="H58" s="224">
        <f>SUMIFS('AC 31.12.2022'!D:D,'AC 31.12.2022'!$B:$B,D58)</f>
        <v>21680906965</v>
      </c>
      <c r="I58" s="224">
        <f>SUMIFS('AC 31.12.2022'!E:E,'AC 31.12.2022'!$B:$B,D58)</f>
        <v>21398082200</v>
      </c>
      <c r="J58" s="11">
        <f>SUMIFS('Fair value 31.12.2023'!J:J,'Fair value 31.12.2023'!B:B,B58,'Fair value 31.12.2023'!A:A,A58)</f>
        <v>0</v>
      </c>
      <c r="K58" s="11">
        <f>SUMIFS('Amortised cost 31.12.2023'!FQ:FQ,'Amortised cost 31.12.2023'!C:C,D58,'Amortised cost 31.12.2023'!A:A,A58)</f>
        <v>0</v>
      </c>
      <c r="L58" s="11">
        <f>SUMIFS('Amortised cost 31.12.2023'!F:F,'Amortised cost 31.12.2023'!C:C,D58,'Amortised cost 31.12.2023'!A:A,A58)</f>
        <v>0</v>
      </c>
      <c r="M58" s="11">
        <f t="shared" si="4"/>
        <v>0</v>
      </c>
      <c r="N58" s="173">
        <f t="shared" si="5"/>
        <v>0</v>
      </c>
    </row>
    <row r="68" spans="4:16">
      <c r="D68" s="121"/>
      <c r="E68" s="121"/>
      <c r="F68" s="173"/>
      <c r="G68" s="173"/>
      <c r="H68" s="173"/>
      <c r="I68" s="173"/>
      <c r="J68" s="173"/>
      <c r="K68" s="11"/>
    </row>
    <row r="69" spans="4:16">
      <c r="D69" s="121"/>
      <c r="E69" s="121"/>
      <c r="F69" s="11"/>
      <c r="G69" s="11"/>
      <c r="H69" s="11"/>
      <c r="I69" s="11"/>
      <c r="J69" s="271"/>
      <c r="K69" s="11"/>
      <c r="L69" s="11"/>
      <c r="M69" s="173"/>
      <c r="N69" s="262"/>
    </row>
    <row r="70" spans="4:16">
      <c r="D70" s="121"/>
      <c r="E70" s="121"/>
      <c r="F70" s="272"/>
      <c r="G70" s="272"/>
      <c r="H70" s="272"/>
      <c r="I70" s="272"/>
      <c r="J70" s="11"/>
      <c r="K70" s="173"/>
      <c r="L70" s="173"/>
      <c r="N70" s="262"/>
      <c r="P70" s="173">
        <f>SUM(P4:P30)</f>
        <v>-8957102415.4199657</v>
      </c>
    </row>
    <row r="71" spans="4:16">
      <c r="D71" s="121"/>
      <c r="E71" s="121"/>
      <c r="F71" s="272"/>
      <c r="G71" s="272"/>
      <c r="H71" s="272"/>
      <c r="I71" s="272"/>
      <c r="J71" s="173"/>
      <c r="M71" s="173"/>
      <c r="N71" s="173"/>
    </row>
  </sheetData>
  <autoFilter ref="A3:Q58" xr:uid="{B5E4B486-21A5-4F16-A915-6553E9B33CC4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0CF0-00AC-4695-AFEC-4680D50F9E18}">
  <sheetPr>
    <tabColor theme="4" tint="0.39997558519241921"/>
  </sheetPr>
  <dimension ref="A1:GD37"/>
  <sheetViews>
    <sheetView showGridLines="0" zoomScale="70" zoomScaleNormal="70" workbookViewId="0">
      <pane xSplit="2" ySplit="2" topLeftCell="E12" activePane="bottomRight" state="frozen"/>
      <selection pane="topRight" activeCell="C1" sqref="C1"/>
      <selection pane="bottomLeft" activeCell="A3" sqref="A3"/>
      <selection pane="bottomRight" activeCell="J3" sqref="J3:J29"/>
    </sheetView>
  </sheetViews>
  <sheetFormatPr defaultColWidth="8.81640625" defaultRowHeight="14.5"/>
  <cols>
    <col min="1" max="1" width="11.54296875" style="121" bestFit="1" customWidth="1"/>
    <col min="2" max="2" width="17.81640625" style="121" bestFit="1" customWidth="1"/>
    <col min="3" max="5" width="17.81640625" style="121" customWidth="1"/>
    <col min="6" max="6" width="17.81640625" style="121" hidden="1" customWidth="1"/>
    <col min="7" max="7" width="9.26953125" style="121" bestFit="1" customWidth="1"/>
    <col min="8" max="8" width="17.81640625" style="121" customWidth="1"/>
    <col min="9" max="9" width="12.81640625" style="121" customWidth="1"/>
    <col min="10" max="11" width="17.81640625" style="121" customWidth="1"/>
    <col min="12" max="12" width="13.81640625" style="121" customWidth="1"/>
    <col min="13" max="13" width="23.54296875" style="121" hidden="1" customWidth="1"/>
    <col min="14" max="14" width="18" style="121" hidden="1" customWidth="1"/>
    <col min="15" max="15" width="17" style="121" hidden="1" customWidth="1"/>
    <col min="16" max="16" width="19.1796875" style="121" hidden="1" customWidth="1"/>
    <col min="17" max="17" width="20" style="121" bestFit="1" customWidth="1"/>
    <col min="18" max="18" width="18.81640625" style="121" bestFit="1" customWidth="1"/>
    <col min="19" max="19" width="13.1796875" style="121" bestFit="1" customWidth="1"/>
    <col min="20" max="20" width="13.54296875" style="121" hidden="1" customWidth="1"/>
    <col min="21" max="22" width="11.81640625" style="121" customWidth="1"/>
    <col min="23" max="23" width="13.1796875" style="121" hidden="1" customWidth="1"/>
    <col min="24" max="24" width="15.453125" style="121" hidden="1" customWidth="1"/>
    <col min="25" max="25" width="16.453125" style="121" hidden="1" customWidth="1"/>
    <col min="26" max="26" width="18.1796875" style="121" hidden="1" customWidth="1"/>
    <col min="27" max="27" width="10.453125" hidden="1" customWidth="1"/>
    <col min="28" max="29" width="8.81640625" hidden="1" customWidth="1"/>
    <col min="30" max="31" width="11.1796875" style="121" hidden="1" customWidth="1"/>
    <col min="32" max="35" width="8.81640625" style="121" hidden="1" customWidth="1"/>
    <col min="36" max="36" width="11.1796875" style="121" hidden="1" customWidth="1"/>
    <col min="37" max="37" width="17.453125" style="121" hidden="1" customWidth="1"/>
    <col min="38" max="39" width="8.81640625" style="121" hidden="1" customWidth="1"/>
    <col min="40" max="40" width="12.81640625" style="121" hidden="1" customWidth="1"/>
    <col min="41" max="43" width="11.453125" style="121" bestFit="1" customWidth="1"/>
    <col min="44" max="44" width="10.54296875" style="121" bestFit="1" customWidth="1"/>
    <col min="45" max="47" width="11.81640625" style="121" bestFit="1" customWidth="1"/>
    <col min="48" max="60" width="11.1796875" style="121" bestFit="1" customWidth="1"/>
    <col min="61" max="64" width="10.1796875" style="121" bestFit="1" customWidth="1"/>
    <col min="65" max="65" width="10.453125" style="121" bestFit="1" customWidth="1"/>
    <col min="66" max="71" width="9.54296875" style="121" bestFit="1" customWidth="1"/>
    <col min="72" max="72" width="9.54296875" style="121" customWidth="1"/>
    <col min="73" max="73" width="9.54296875" style="121" bestFit="1" customWidth="1"/>
    <col min="74" max="82" width="8.81640625" style="121" hidden="1" customWidth="1"/>
    <col min="83" max="83" width="13.1796875" style="121" hidden="1" customWidth="1"/>
    <col min="84" max="84" width="10.453125" style="121" hidden="1" customWidth="1"/>
    <col min="85" max="85" width="10.1796875" style="121" bestFit="1" customWidth="1"/>
    <col min="86" max="86" width="8.81640625" style="121"/>
    <col min="87" max="87" width="18.453125" style="121" bestFit="1" customWidth="1"/>
    <col min="88" max="89" width="18.54296875" style="121" bestFit="1" customWidth="1"/>
    <col min="90" max="92" width="16.54296875" style="121" bestFit="1" customWidth="1"/>
    <col min="93" max="94" width="17.54296875" style="121" bestFit="1" customWidth="1"/>
    <col min="95" max="95" width="16.453125" style="121" bestFit="1" customWidth="1"/>
    <col min="96" max="96" width="16.54296875" style="121" bestFit="1" customWidth="1"/>
    <col min="97" max="97" width="16.1796875" style="121" bestFit="1" customWidth="1"/>
    <col min="98" max="98" width="19.54296875" style="121" bestFit="1" customWidth="1"/>
    <col min="99" max="99" width="17" style="121" bestFit="1" customWidth="1"/>
    <col min="100" max="100" width="17.453125" style="121" bestFit="1" customWidth="1"/>
    <col min="101" max="101" width="16" style="121" bestFit="1" customWidth="1"/>
    <col min="102" max="102" width="16.54296875" style="121" bestFit="1" customWidth="1"/>
    <col min="103" max="103" width="16.1796875" style="121" bestFit="1" customWidth="1"/>
    <col min="104" max="104" width="18" style="121" bestFit="1" customWidth="1"/>
    <col min="105" max="109" width="16.1796875" style="121" bestFit="1" customWidth="1"/>
    <col min="110" max="110" width="17.1796875" style="121" bestFit="1" customWidth="1"/>
    <col min="111" max="111" width="17.453125" style="121" bestFit="1" customWidth="1"/>
    <col min="112" max="112" width="11.54296875" style="121" bestFit="1" customWidth="1"/>
    <col min="113" max="113" width="12" style="121" bestFit="1" customWidth="1"/>
    <col min="114" max="114" width="12.453125" style="121" bestFit="1" customWidth="1"/>
    <col min="115" max="115" width="13.54296875" style="121" bestFit="1" customWidth="1"/>
    <col min="116" max="116" width="14" style="121" bestFit="1" customWidth="1"/>
    <col min="117" max="117" width="11.453125" style="121" bestFit="1" customWidth="1"/>
    <col min="118" max="118" width="12.7265625" style="121" bestFit="1" customWidth="1"/>
    <col min="119" max="119" width="15" style="121" bestFit="1" customWidth="1"/>
    <col min="120" max="130" width="10.453125" style="121" hidden="1" customWidth="1"/>
    <col min="131" max="131" width="5.81640625" style="121" bestFit="1" customWidth="1"/>
    <col min="132" max="132" width="8.81640625" style="123" bestFit="1" customWidth="1"/>
    <col min="133" max="133" width="8.81640625" style="121"/>
    <col min="134" max="134" width="15.81640625" style="125" bestFit="1" customWidth="1"/>
    <col min="135" max="135" width="19.54296875" style="125" bestFit="1" customWidth="1"/>
    <col min="136" max="136" width="17.54296875" style="125" bestFit="1" customWidth="1"/>
    <col min="137" max="137" width="17.1796875" style="125" bestFit="1" customWidth="1"/>
    <col min="138" max="138" width="17.54296875" style="125" bestFit="1" customWidth="1"/>
    <col min="139" max="139" width="17.81640625" style="125" bestFit="1" customWidth="1"/>
    <col min="140" max="144" width="17.54296875" style="125" bestFit="1" customWidth="1"/>
    <col min="145" max="145" width="16.81640625" style="125" bestFit="1" customWidth="1"/>
    <col min="146" max="146" width="18.1796875" style="125" bestFit="1" customWidth="1"/>
    <col min="147" max="148" width="17.54296875" style="125" bestFit="1" customWidth="1"/>
    <col min="149" max="149" width="17.1796875" style="125" bestFit="1" customWidth="1"/>
    <col min="150" max="153" width="17.54296875" style="125" bestFit="1" customWidth="1"/>
    <col min="154" max="154" width="16.81640625" style="125" bestFit="1" customWidth="1"/>
    <col min="155" max="155" width="16.1796875" style="125" bestFit="1" customWidth="1"/>
    <col min="156" max="156" width="16.81640625" style="125" bestFit="1" customWidth="1"/>
    <col min="157" max="158" width="16.1796875" style="125" bestFit="1" customWidth="1"/>
    <col min="159" max="159" width="13.54296875" style="125" bestFit="1" customWidth="1"/>
    <col min="160" max="160" width="14" style="125" bestFit="1" customWidth="1"/>
    <col min="161" max="161" width="13.54296875" style="125" bestFit="1" customWidth="1"/>
    <col min="162" max="162" width="14" style="125" bestFit="1" customWidth="1"/>
    <col min="163" max="164" width="13.54296875" style="125" bestFit="1" customWidth="1"/>
    <col min="165" max="165" width="6.453125" style="125" customWidth="1"/>
    <col min="166" max="177" width="6.453125" style="125" hidden="1" customWidth="1"/>
    <col min="178" max="178" width="10.81640625" style="121" customWidth="1"/>
    <col min="179" max="179" width="8.81640625" style="121" bestFit="1" customWidth="1"/>
    <col min="180" max="180" width="11.1796875" style="132" bestFit="1" customWidth="1"/>
    <col min="181" max="181" width="16.81640625" style="121" bestFit="1" customWidth="1"/>
    <col min="182" max="182" width="18.54296875" style="121" bestFit="1" customWidth="1"/>
    <col min="183" max="183" width="17.453125" style="121" bestFit="1" customWidth="1"/>
    <col min="184" max="184" width="19.54296875" style="334" bestFit="1" customWidth="1"/>
    <col min="185" max="186" width="20.81640625" style="121" bestFit="1" customWidth="1"/>
    <col min="187" max="16384" width="8.81640625" style="121"/>
  </cols>
  <sheetData>
    <row r="1" spans="1:186" ht="15" thickBot="1">
      <c r="J1" s="316">
        <f>SUBTOTAL(9,J3:J29)</f>
        <v>1059469701029.3569</v>
      </c>
      <c r="L1" s="316">
        <f>SUBTOTAL(9,L3:L29)</f>
        <v>1293431497.7314644</v>
      </c>
      <c r="P1" s="126">
        <f>SUM(P3:P29)</f>
        <v>1025612849307.1361</v>
      </c>
      <c r="Q1" s="261"/>
      <c r="R1" s="125"/>
      <c r="S1" s="130"/>
      <c r="T1" s="130"/>
      <c r="X1" s="124">
        <v>45001</v>
      </c>
      <c r="Y1" s="127">
        <v>45291</v>
      </c>
      <c r="Z1" s="122">
        <f>SUBTOTAL(109,Z3:Z29)</f>
        <v>31739115134.622185</v>
      </c>
      <c r="AK1" s="230">
        <f>SUBTOTAL(109,AK3:AK29)</f>
        <v>31739115134.622185</v>
      </c>
      <c r="AO1" s="71"/>
      <c r="AP1" s="71"/>
      <c r="AQ1" s="72"/>
      <c r="AR1" s="72"/>
      <c r="AS1" s="72"/>
      <c r="AT1" s="72"/>
      <c r="AU1" s="72"/>
      <c r="AV1" s="72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CW1" s="124"/>
      <c r="CX1" s="124"/>
      <c r="CY1" s="124"/>
      <c r="CZ1" s="124"/>
      <c r="DA1" s="124"/>
      <c r="DB1" s="124"/>
      <c r="DC1" s="124"/>
      <c r="DD1" s="124"/>
      <c r="DE1" s="124"/>
      <c r="DF1" s="124"/>
      <c r="EB1" s="216" t="s">
        <v>126</v>
      </c>
      <c r="FZ1" s="127">
        <v>45291</v>
      </c>
      <c r="GC1" s="187">
        <f>SUBTOTAL(9,GC3:GC1048576)</f>
        <v>-824305089.86702681</v>
      </c>
    </row>
    <row r="2" spans="1:186" s="196" customFormat="1" ht="52">
      <c r="A2" s="192" t="s">
        <v>71</v>
      </c>
      <c r="B2" s="193" t="s">
        <v>0</v>
      </c>
      <c r="C2" s="193" t="s">
        <v>127</v>
      </c>
      <c r="D2" s="193" t="s">
        <v>72</v>
      </c>
      <c r="E2" s="193" t="s">
        <v>128</v>
      </c>
      <c r="F2" s="193" t="s">
        <v>129</v>
      </c>
      <c r="G2" s="193" t="s">
        <v>130</v>
      </c>
      <c r="H2" s="193" t="s">
        <v>131</v>
      </c>
      <c r="I2" s="307" t="s">
        <v>132</v>
      </c>
      <c r="J2" s="307" t="s">
        <v>133</v>
      </c>
      <c r="K2" s="307" t="s">
        <v>134</v>
      </c>
      <c r="L2" s="257" t="s">
        <v>135</v>
      </c>
      <c r="M2" s="193" t="s">
        <v>1</v>
      </c>
      <c r="N2" s="193" t="s">
        <v>2</v>
      </c>
      <c r="O2" s="193" t="s">
        <v>3</v>
      </c>
      <c r="P2" s="193" t="s">
        <v>4</v>
      </c>
      <c r="Q2" s="194" t="s">
        <v>5</v>
      </c>
      <c r="R2" s="194" t="s">
        <v>6</v>
      </c>
      <c r="S2" s="194" t="s">
        <v>7</v>
      </c>
      <c r="T2" s="194" t="s">
        <v>136</v>
      </c>
      <c r="U2" s="194" t="s">
        <v>8</v>
      </c>
      <c r="V2" s="194" t="s">
        <v>9</v>
      </c>
      <c r="W2" s="194" t="s">
        <v>10</v>
      </c>
      <c r="X2" s="194" t="s">
        <v>137</v>
      </c>
      <c r="Y2" s="191" t="s">
        <v>138</v>
      </c>
      <c r="Z2" s="195" t="s">
        <v>12</v>
      </c>
      <c r="AD2" s="197" t="s">
        <v>139</v>
      </c>
      <c r="AE2" s="198" t="s">
        <v>140</v>
      </c>
      <c r="AF2" s="199" t="s">
        <v>7</v>
      </c>
      <c r="AG2" s="199" t="s">
        <v>141</v>
      </c>
      <c r="AH2" s="198" t="s">
        <v>142</v>
      </c>
      <c r="AI2" s="198" t="s">
        <v>143</v>
      </c>
      <c r="AJ2" s="200" t="s">
        <v>144</v>
      </c>
      <c r="AK2" s="201" t="s">
        <v>145</v>
      </c>
      <c r="AL2" s="202" t="s">
        <v>146</v>
      </c>
      <c r="AM2" s="203"/>
      <c r="AN2" s="203"/>
      <c r="AO2" s="204">
        <v>0</v>
      </c>
      <c r="AP2" s="205">
        <v>1</v>
      </c>
      <c r="AQ2" s="205">
        <v>2</v>
      </c>
      <c r="AR2" s="205">
        <v>3</v>
      </c>
      <c r="AS2" s="205">
        <v>4</v>
      </c>
      <c r="AT2" s="205">
        <v>5</v>
      </c>
      <c r="AU2" s="205">
        <v>6</v>
      </c>
      <c r="AV2" s="205">
        <v>7</v>
      </c>
      <c r="AW2" s="205">
        <v>8</v>
      </c>
      <c r="AX2" s="205">
        <v>9</v>
      </c>
      <c r="AY2" s="205">
        <v>10</v>
      </c>
      <c r="AZ2" s="205">
        <v>11</v>
      </c>
      <c r="BA2" s="205">
        <v>12</v>
      </c>
      <c r="BB2" s="205">
        <v>13</v>
      </c>
      <c r="BC2" s="205">
        <v>14</v>
      </c>
      <c r="BD2" s="205">
        <v>15</v>
      </c>
      <c r="BE2" s="205">
        <v>16</v>
      </c>
      <c r="BF2" s="205">
        <v>17</v>
      </c>
      <c r="BG2" s="205">
        <v>18</v>
      </c>
      <c r="BH2" s="205">
        <v>19</v>
      </c>
      <c r="BI2" s="205">
        <v>20</v>
      </c>
      <c r="BJ2" s="205">
        <f>BI2+1</f>
        <v>21</v>
      </c>
      <c r="BK2" s="205">
        <f t="shared" ref="BK2:CF2" si="0">BJ2+1</f>
        <v>22</v>
      </c>
      <c r="BL2" s="205">
        <f t="shared" si="0"/>
        <v>23</v>
      </c>
      <c r="BM2" s="205">
        <f t="shared" si="0"/>
        <v>24</v>
      </c>
      <c r="BN2" s="205">
        <f t="shared" si="0"/>
        <v>25</v>
      </c>
      <c r="BO2" s="205">
        <f t="shared" si="0"/>
        <v>26</v>
      </c>
      <c r="BP2" s="205">
        <f t="shared" si="0"/>
        <v>27</v>
      </c>
      <c r="BQ2" s="205">
        <f t="shared" si="0"/>
        <v>28</v>
      </c>
      <c r="BR2" s="205">
        <f t="shared" si="0"/>
        <v>29</v>
      </c>
      <c r="BS2" s="205">
        <f t="shared" si="0"/>
        <v>30</v>
      </c>
      <c r="BT2" s="205">
        <f t="shared" si="0"/>
        <v>31</v>
      </c>
      <c r="BU2" s="205">
        <f t="shared" si="0"/>
        <v>32</v>
      </c>
      <c r="BV2" s="205">
        <f t="shared" si="0"/>
        <v>33</v>
      </c>
      <c r="BW2" s="205">
        <f t="shared" si="0"/>
        <v>34</v>
      </c>
      <c r="BX2" s="205">
        <f t="shared" si="0"/>
        <v>35</v>
      </c>
      <c r="BY2" s="205">
        <f t="shared" si="0"/>
        <v>36</v>
      </c>
      <c r="BZ2" s="205">
        <f t="shared" si="0"/>
        <v>37</v>
      </c>
      <c r="CA2" s="205">
        <f t="shared" si="0"/>
        <v>38</v>
      </c>
      <c r="CB2" s="205">
        <f t="shared" si="0"/>
        <v>39</v>
      </c>
      <c r="CC2" s="205">
        <f t="shared" si="0"/>
        <v>40</v>
      </c>
      <c r="CD2" s="205">
        <f t="shared" si="0"/>
        <v>41</v>
      </c>
      <c r="CE2" s="205">
        <f t="shared" si="0"/>
        <v>42</v>
      </c>
      <c r="CF2" s="205">
        <f t="shared" si="0"/>
        <v>43</v>
      </c>
      <c r="CG2" s="206" t="s">
        <v>147</v>
      </c>
      <c r="CH2" s="203"/>
      <c r="CI2" s="204">
        <v>0</v>
      </c>
      <c r="CJ2" s="205">
        <v>1</v>
      </c>
      <c r="CK2" s="205">
        <v>2</v>
      </c>
      <c r="CL2" s="205">
        <v>3</v>
      </c>
      <c r="CM2" s="205">
        <v>4</v>
      </c>
      <c r="CN2" s="205">
        <v>5</v>
      </c>
      <c r="CO2" s="205">
        <v>6</v>
      </c>
      <c r="CP2" s="205">
        <v>7</v>
      </c>
      <c r="CQ2" s="205">
        <v>8</v>
      </c>
      <c r="CR2" s="205">
        <v>9</v>
      </c>
      <c r="CS2" s="205">
        <v>10</v>
      </c>
      <c r="CT2" s="205">
        <v>11</v>
      </c>
      <c r="CU2" s="205">
        <v>12</v>
      </c>
      <c r="CV2" s="205">
        <v>13</v>
      </c>
      <c r="CW2" s="205">
        <v>14</v>
      </c>
      <c r="CX2" s="205">
        <v>15</v>
      </c>
      <c r="CY2" s="205">
        <v>16</v>
      </c>
      <c r="CZ2" s="205">
        <v>17</v>
      </c>
      <c r="DA2" s="205">
        <v>18</v>
      </c>
      <c r="DB2" s="205">
        <v>19</v>
      </c>
      <c r="DC2" s="205">
        <v>20</v>
      </c>
      <c r="DD2" s="205">
        <f>DC2+1</f>
        <v>21</v>
      </c>
      <c r="DE2" s="205">
        <f t="shared" ref="DE2:DZ2" si="1">DD2+1</f>
        <v>22</v>
      </c>
      <c r="DF2" s="244">
        <f t="shared" si="1"/>
        <v>23</v>
      </c>
      <c r="DG2" s="211">
        <f t="shared" si="1"/>
        <v>24</v>
      </c>
      <c r="DH2" s="245">
        <f t="shared" si="1"/>
        <v>25</v>
      </c>
      <c r="DI2" s="205">
        <f t="shared" si="1"/>
        <v>26</v>
      </c>
      <c r="DJ2" s="205">
        <f t="shared" si="1"/>
        <v>27</v>
      </c>
      <c r="DK2" s="205">
        <f t="shared" si="1"/>
        <v>28</v>
      </c>
      <c r="DL2" s="205">
        <f t="shared" si="1"/>
        <v>29</v>
      </c>
      <c r="DM2" s="205">
        <f t="shared" si="1"/>
        <v>30</v>
      </c>
      <c r="DN2" s="324">
        <f t="shared" si="1"/>
        <v>31</v>
      </c>
      <c r="DO2" s="323">
        <f t="shared" si="1"/>
        <v>32</v>
      </c>
      <c r="DP2" s="209">
        <f t="shared" si="1"/>
        <v>33</v>
      </c>
      <c r="DQ2" s="209">
        <f t="shared" si="1"/>
        <v>34</v>
      </c>
      <c r="DR2" s="209">
        <f t="shared" si="1"/>
        <v>35</v>
      </c>
      <c r="DS2" s="209">
        <f t="shared" si="1"/>
        <v>36</v>
      </c>
      <c r="DT2" s="209">
        <f t="shared" si="1"/>
        <v>37</v>
      </c>
      <c r="DU2" s="209">
        <f t="shared" si="1"/>
        <v>38</v>
      </c>
      <c r="DV2" s="209">
        <f t="shared" si="1"/>
        <v>39</v>
      </c>
      <c r="DW2" s="209">
        <f t="shared" si="1"/>
        <v>40</v>
      </c>
      <c r="DX2" s="209">
        <f t="shared" si="1"/>
        <v>41</v>
      </c>
      <c r="DY2" s="209">
        <f t="shared" si="1"/>
        <v>42</v>
      </c>
      <c r="DZ2" s="209">
        <f t="shared" si="1"/>
        <v>43</v>
      </c>
      <c r="EA2" s="203"/>
      <c r="EB2" s="246" t="s">
        <v>148</v>
      </c>
      <c r="EC2" s="203"/>
      <c r="ED2" s="210">
        <v>0</v>
      </c>
      <c r="EE2" s="205">
        <v>1</v>
      </c>
      <c r="EF2" s="205">
        <v>2</v>
      </c>
      <c r="EG2" s="205">
        <v>3</v>
      </c>
      <c r="EH2" s="205">
        <v>4</v>
      </c>
      <c r="EI2" s="205">
        <v>5</v>
      </c>
      <c r="EJ2" s="205">
        <v>6</v>
      </c>
      <c r="EK2" s="205">
        <v>7</v>
      </c>
      <c r="EL2" s="205">
        <v>8</v>
      </c>
      <c r="EM2" s="205">
        <v>9</v>
      </c>
      <c r="EN2" s="205">
        <v>10</v>
      </c>
      <c r="EO2" s="205">
        <v>11</v>
      </c>
      <c r="EP2" s="205">
        <v>12</v>
      </c>
      <c r="EQ2" s="205">
        <v>13</v>
      </c>
      <c r="ER2" s="205">
        <v>14</v>
      </c>
      <c r="ES2" s="205">
        <v>15</v>
      </c>
      <c r="ET2" s="205">
        <v>16</v>
      </c>
      <c r="EU2" s="205">
        <v>17</v>
      </c>
      <c r="EV2" s="205">
        <v>18</v>
      </c>
      <c r="EW2" s="205">
        <v>19</v>
      </c>
      <c r="EX2" s="205">
        <v>20</v>
      </c>
      <c r="EY2" s="205">
        <v>21</v>
      </c>
      <c r="EZ2" s="205">
        <v>22</v>
      </c>
      <c r="FA2" s="205">
        <v>23</v>
      </c>
      <c r="FB2" s="205">
        <v>24</v>
      </c>
      <c r="FC2" s="205">
        <v>25</v>
      </c>
      <c r="FD2" s="205">
        <v>26</v>
      </c>
      <c r="FE2" s="205">
        <v>27</v>
      </c>
      <c r="FF2" s="205">
        <v>28</v>
      </c>
      <c r="FG2" s="205">
        <v>29</v>
      </c>
      <c r="FH2" s="205">
        <v>30</v>
      </c>
      <c r="FI2" s="205">
        <v>31</v>
      </c>
      <c r="FJ2" s="205">
        <v>32</v>
      </c>
      <c r="FK2" s="205">
        <v>33</v>
      </c>
      <c r="FL2" s="205">
        <v>34</v>
      </c>
      <c r="FM2" s="211">
        <f>FL2+1</f>
        <v>35</v>
      </c>
      <c r="FN2" s="211">
        <f t="shared" ref="FN2:FU2" si="2">FM2+1</f>
        <v>36</v>
      </c>
      <c r="FO2" s="211">
        <f t="shared" si="2"/>
        <v>37</v>
      </c>
      <c r="FP2" s="211">
        <f t="shared" si="2"/>
        <v>38</v>
      </c>
      <c r="FQ2" s="211">
        <f t="shared" si="2"/>
        <v>39</v>
      </c>
      <c r="FR2" s="211">
        <f t="shared" si="2"/>
        <v>40</v>
      </c>
      <c r="FS2" s="211">
        <f t="shared" si="2"/>
        <v>41</v>
      </c>
      <c r="FT2" s="211">
        <f t="shared" si="2"/>
        <v>42</v>
      </c>
      <c r="FU2" s="212">
        <f t="shared" si="2"/>
        <v>43</v>
      </c>
      <c r="FV2" s="203"/>
      <c r="FW2" s="213" t="s">
        <v>149</v>
      </c>
      <c r="FX2" s="214" t="s">
        <v>150</v>
      </c>
      <c r="FY2" s="215" t="s">
        <v>151</v>
      </c>
      <c r="FZ2" s="215" t="s">
        <v>152</v>
      </c>
      <c r="GA2" s="177" t="s">
        <v>77</v>
      </c>
      <c r="GB2" s="335" t="s">
        <v>153</v>
      </c>
      <c r="GC2" s="179" t="s">
        <v>135</v>
      </c>
      <c r="GD2" s="169" t="s">
        <v>147</v>
      </c>
    </row>
    <row r="3" spans="1:186">
      <c r="A3" s="134" t="s">
        <v>83</v>
      </c>
      <c r="B3" s="121" t="s">
        <v>13</v>
      </c>
      <c r="C3" s="121" t="s">
        <v>154</v>
      </c>
      <c r="D3" s="121" t="str">
        <f>VLOOKUP(B3,'NTFS - Supporting'!B:C,2,0)</f>
        <v>Corp</v>
      </c>
      <c r="F3" s="128"/>
      <c r="G3" s="128">
        <v>4.4999999999999998E-2</v>
      </c>
      <c r="H3" s="128">
        <v>4.9000000000000002E-2</v>
      </c>
      <c r="I3" s="128">
        <f>S3-G3+H3</f>
        <v>0.109</v>
      </c>
      <c r="J3" s="140">
        <f>XNPV(I3,CY3:DA3,BE3:BG3)</f>
        <v>12763474253.254694</v>
      </c>
      <c r="K3" s="140">
        <v>12766083490.717894</v>
      </c>
      <c r="L3" s="141">
        <f>J3-K3</f>
        <v>-2609237.4631996155</v>
      </c>
      <c r="M3" s="3" t="s">
        <v>13</v>
      </c>
      <c r="N3" s="3" t="s">
        <v>14</v>
      </c>
      <c r="O3" s="140">
        <v>125000</v>
      </c>
      <c r="P3" s="140">
        <f>SUMIFS('121'!E:E,'121'!B:B,'Fair value 31.12.2023'!M3)</f>
        <v>12500000000</v>
      </c>
      <c r="Q3" s="140">
        <v>100000</v>
      </c>
      <c r="R3" s="140">
        <f t="shared" ref="R3:R12" si="3">O3*Q3</f>
        <v>12500000000</v>
      </c>
      <c r="S3" s="222">
        <v>0.105</v>
      </c>
      <c r="T3" s="222"/>
      <c r="U3" s="124">
        <v>44484</v>
      </c>
      <c r="V3" s="124">
        <v>45580</v>
      </c>
      <c r="W3" s="121" t="s">
        <v>15</v>
      </c>
      <c r="X3" s="124">
        <v>44536</v>
      </c>
      <c r="Y3" s="124">
        <v>45214</v>
      </c>
      <c r="Z3" s="141">
        <f t="shared" ref="Z3" si="4">R3*S3*($Y$1-Y3+1)/365</f>
        <v>280479452.05479455</v>
      </c>
      <c r="AB3" s="121"/>
      <c r="AD3" s="151">
        <f t="shared" ref="AD3:AE29" si="5">U3</f>
        <v>44484</v>
      </c>
      <c r="AE3" s="124">
        <f t="shared" si="5"/>
        <v>45580</v>
      </c>
      <c r="AF3" s="128">
        <f>S3</f>
        <v>0.105</v>
      </c>
      <c r="AG3" s="121" t="s">
        <v>155</v>
      </c>
      <c r="AH3" s="121" t="str">
        <f t="shared" ref="AH3:AH29" si="6">W3</f>
        <v>6 tháng/lần</v>
      </c>
      <c r="AI3" s="121" cm="1">
        <f t="array" ref="AI3">_xlfn.IFS(AH3="Quý",3,LEFT(AH3,1)="6",6,AH3="Năm",12,AH3="Cuối kỳ",1)</f>
        <v>6</v>
      </c>
      <c r="AJ3" s="124">
        <f>Y3</f>
        <v>45214</v>
      </c>
      <c r="AK3" s="175">
        <f>R3*S3*($Y$1-Y3+1)/365</f>
        <v>280479452.05479455</v>
      </c>
      <c r="AL3" s="152">
        <f t="shared" ref="AL3:AL12" si="7">IF(AH3="Cuối kỳ",1,ROUND((AE3-AD3)/30/AI3,0))</f>
        <v>6</v>
      </c>
      <c r="AM3" s="126">
        <f t="shared" ref="AM3:AM29" si="8">AK3-Z3</f>
        <v>0</v>
      </c>
      <c r="AN3" s="126"/>
      <c r="AO3" s="151">
        <v>44536</v>
      </c>
      <c r="AP3" s="124">
        <v>44537</v>
      </c>
      <c r="AQ3" s="124">
        <v>44538</v>
      </c>
      <c r="AR3" s="124">
        <v>44539</v>
      </c>
      <c r="AS3" s="124">
        <v>44540</v>
      </c>
      <c r="AT3" s="124">
        <v>44554</v>
      </c>
      <c r="AU3" s="124">
        <v>44558</v>
      </c>
      <c r="AV3" s="124">
        <v>44559</v>
      </c>
      <c r="AW3" s="124">
        <v>44560</v>
      </c>
      <c r="AX3" s="124">
        <v>44666</v>
      </c>
      <c r="AY3" s="124">
        <v>44849</v>
      </c>
      <c r="AZ3" s="124">
        <v>44851</v>
      </c>
      <c r="BA3" s="124">
        <v>45031</v>
      </c>
      <c r="BB3" s="254">
        <v>45031</v>
      </c>
      <c r="BC3" s="254">
        <v>45214</v>
      </c>
      <c r="BD3" s="254">
        <v>45214</v>
      </c>
      <c r="BE3" s="138">
        <v>45291</v>
      </c>
      <c r="BF3" s="124">
        <v>45397</v>
      </c>
      <c r="BG3" s="124">
        <v>45580</v>
      </c>
      <c r="BH3" s="124"/>
      <c r="BI3" s="124"/>
      <c r="BJ3" s="124"/>
      <c r="BK3" s="124"/>
      <c r="BL3" s="124"/>
      <c r="BM3" s="124"/>
      <c r="CG3" s="141">
        <f t="shared" ref="CG3:CG6" si="9">MAX(AO3:BM3)-AE3</f>
        <v>0</v>
      </c>
      <c r="CI3" s="223">
        <v>-15133800000</v>
      </c>
      <c r="CJ3" s="129">
        <v>-10092100000</v>
      </c>
      <c r="CK3" s="129">
        <v>13123370000</v>
      </c>
      <c r="CL3" s="129">
        <v>-11107580000</v>
      </c>
      <c r="CM3" s="129">
        <v>23231610000</v>
      </c>
      <c r="CN3" s="129">
        <v>-10141000000</v>
      </c>
      <c r="CO3" s="129">
        <v>4061000000</v>
      </c>
      <c r="CP3" s="129">
        <v>-18279540000</v>
      </c>
      <c r="CQ3" s="129">
        <v>-1015820000</v>
      </c>
      <c r="CR3" s="129">
        <v>1157876712</v>
      </c>
      <c r="CS3" s="5">
        <v>5000000000</v>
      </c>
      <c r="CT3" s="237">
        <v>1316095890</v>
      </c>
      <c r="CU3" s="224">
        <v>1047123288</v>
      </c>
      <c r="CV3" s="224">
        <v>3750000000</v>
      </c>
      <c r="CW3" s="224">
        <v>855462329</v>
      </c>
      <c r="CX3" s="224">
        <v>3750000000</v>
      </c>
      <c r="CY3" s="224">
        <v>0</v>
      </c>
      <c r="CZ3" s="224">
        <f>5000000000+658048000</f>
        <v>5658048000</v>
      </c>
      <c r="DA3" s="224">
        <v>7893750000</v>
      </c>
      <c r="DN3" s="325"/>
      <c r="DO3" s="152"/>
      <c r="EA3" s="128">
        <f t="shared" ref="EA3:EA29" si="10">EB3-AF3</f>
        <v>2.6387941837310719E-3</v>
      </c>
      <c r="EB3" s="247">
        <f t="shared" ref="EB3:EB29" si="11">XIRR(CI3:DZ3,AO3:CF3)</f>
        <v>0.10763879418373107</v>
      </c>
      <c r="EC3" s="250"/>
      <c r="ED3" s="161">
        <f t="shared" ref="ED3:ED29" si="12">-CI3</f>
        <v>15133800000</v>
      </c>
      <c r="EE3" s="140">
        <f t="shared" ref="EE3:FU8" si="13">ED3*(1+$EB3)^((AP3-AO3)/365)-CJ3</f>
        <v>25230139323.800369</v>
      </c>
      <c r="EF3" s="140">
        <f t="shared" si="13"/>
        <v>12113836863.355675</v>
      </c>
      <c r="EG3" s="140">
        <f t="shared" si="13"/>
        <v>23224810226.352982</v>
      </c>
      <c r="EH3" s="140">
        <f t="shared" si="13"/>
        <v>-293972.67491149902</v>
      </c>
      <c r="EI3" s="140">
        <f t="shared" si="13"/>
        <v>10140704872.344919</v>
      </c>
      <c r="EJ3" s="140">
        <f t="shared" si="13"/>
        <v>6091072221.8548222</v>
      </c>
      <c r="EK3" s="140">
        <f t="shared" si="13"/>
        <v>24372318470.6119</v>
      </c>
      <c r="EL3" s="140">
        <f t="shared" si="13"/>
        <v>25394965714.910271</v>
      </c>
      <c r="EM3" s="140">
        <f t="shared" si="13"/>
        <v>25002340309.98465</v>
      </c>
      <c r="EN3" s="140">
        <f t="shared" si="13"/>
        <v>21317253304.809258</v>
      </c>
      <c r="EO3" s="140">
        <f t="shared" si="13"/>
        <v>20013101988.776138</v>
      </c>
      <c r="EP3" s="140">
        <f t="shared" si="13"/>
        <v>20000806710.379639</v>
      </c>
      <c r="EQ3" s="140">
        <f t="shared" si="13"/>
        <v>16250806710.379639</v>
      </c>
      <c r="ER3" s="140">
        <f t="shared" si="13"/>
        <v>16250000251.787407</v>
      </c>
      <c r="ES3" s="140">
        <f t="shared" si="13"/>
        <v>12500000251.787407</v>
      </c>
      <c r="ET3" s="140">
        <f t="shared" si="13"/>
        <v>12772508740.371754</v>
      </c>
      <c r="EU3" s="140">
        <f t="shared" si="13"/>
        <v>7499347222.1223335</v>
      </c>
      <c r="EV3" s="140">
        <f t="shared" si="13"/>
        <v>-134.25264072418213</v>
      </c>
      <c r="EW3" s="140">
        <f t="shared" si="13"/>
        <v>-3.8337766845087426E-4</v>
      </c>
      <c r="EX3" s="140">
        <f t="shared" si="13"/>
        <v>-3.8337766845087426E-4</v>
      </c>
      <c r="EY3" s="140">
        <f t="shared" si="13"/>
        <v>-3.8337766845087426E-4</v>
      </c>
      <c r="EZ3" s="140">
        <f t="shared" si="13"/>
        <v>-3.8337766845087426E-4</v>
      </c>
      <c r="FA3" s="140">
        <f t="shared" si="13"/>
        <v>-3.8337766845087426E-4</v>
      </c>
      <c r="FB3" s="140">
        <f t="shared" si="13"/>
        <v>-3.8337766845087426E-4</v>
      </c>
      <c r="FC3" s="140">
        <f t="shared" si="13"/>
        <v>-3.8337766845087426E-4</v>
      </c>
      <c r="FD3" s="140">
        <f t="shared" si="13"/>
        <v>-3.8337766845087426E-4</v>
      </c>
      <c r="FE3" s="140">
        <f t="shared" si="13"/>
        <v>-3.8337766845087426E-4</v>
      </c>
      <c r="FF3" s="140">
        <f t="shared" si="13"/>
        <v>-3.8337766845087426E-4</v>
      </c>
      <c r="FG3" s="140">
        <f t="shared" si="13"/>
        <v>-3.8337766845087426E-4</v>
      </c>
      <c r="FH3" s="140">
        <f t="shared" si="13"/>
        <v>-3.8337766845087426E-4</v>
      </c>
      <c r="FI3" s="140">
        <f t="shared" si="13"/>
        <v>-3.8337766845087426E-4</v>
      </c>
      <c r="FJ3" s="140">
        <f t="shared" si="13"/>
        <v>-3.8337766845087426E-4</v>
      </c>
      <c r="FK3" s="140">
        <f t="shared" si="13"/>
        <v>-3.8337766845087426E-4</v>
      </c>
      <c r="FL3" s="140">
        <f t="shared" si="13"/>
        <v>-3.8337766845087426E-4</v>
      </c>
      <c r="FM3" s="140">
        <f t="shared" si="13"/>
        <v>-3.8337766845087426E-4</v>
      </c>
      <c r="FN3" s="140">
        <f t="shared" si="13"/>
        <v>-3.8337766845087426E-4</v>
      </c>
      <c r="FO3" s="140">
        <f t="shared" si="13"/>
        <v>-3.8337766845087426E-4</v>
      </c>
      <c r="FP3" s="140">
        <f t="shared" si="13"/>
        <v>-3.8337766845087426E-4</v>
      </c>
      <c r="FQ3" s="140">
        <f t="shared" si="13"/>
        <v>-3.8337766845087426E-4</v>
      </c>
      <c r="FR3" s="140">
        <f t="shared" si="13"/>
        <v>-3.8337766845087426E-4</v>
      </c>
      <c r="FS3" s="140">
        <f t="shared" si="13"/>
        <v>-3.8337766845087426E-4</v>
      </c>
      <c r="FT3" s="140">
        <f t="shared" si="13"/>
        <v>-3.8337766845087426E-4</v>
      </c>
      <c r="FU3" s="141">
        <f t="shared" si="13"/>
        <v>-3.8337766845087426E-4</v>
      </c>
      <c r="FV3" s="225"/>
      <c r="FW3" s="134">
        <v>1</v>
      </c>
      <c r="FX3" s="166">
        <v>15</v>
      </c>
      <c r="FY3" s="124">
        <f>HLOOKUP(FX3,$AO$2:CG3,FW3+1,0)</f>
        <v>45214</v>
      </c>
      <c r="FZ3" s="140">
        <f>HLOOKUP(FX3,$ED$2:FU3,FW3+1,0)</f>
        <v>12500000251.787407</v>
      </c>
      <c r="GA3" s="182">
        <f t="shared" ref="GA3:GA29" si="14">FZ3*(1+AF3)^(($FZ$1-FY3)/365)</f>
        <v>12766083490.717894</v>
      </c>
      <c r="GB3" s="334">
        <f t="shared" ref="GB3:GB29" si="15">P3+AK3</f>
        <v>12780479452.054794</v>
      </c>
      <c r="GC3" s="183">
        <f>GB3-GA3</f>
        <v>14395961.336900711</v>
      </c>
      <c r="GD3" s="165">
        <f t="shared" ref="GD3:GD29" si="16">GB3-AK3-P3</f>
        <v>0</v>
      </c>
    </row>
    <row r="4" spans="1:186">
      <c r="A4" s="134" t="s">
        <v>83</v>
      </c>
      <c r="B4" s="121" t="s">
        <v>16</v>
      </c>
      <c r="C4" s="121" t="s">
        <v>154</v>
      </c>
      <c r="D4" s="121" t="s">
        <v>156</v>
      </c>
      <c r="G4" s="128">
        <v>6.4000000000000001E-2</v>
      </c>
      <c r="H4" s="128">
        <v>5.2999999999999999E-2</v>
      </c>
      <c r="I4" s="128">
        <f>S4-G4+H4</f>
        <v>7.9999999999999988E-2</v>
      </c>
      <c r="J4" s="140">
        <f>XNPV(I4,CK4:CR4,AQ4:AX4)</f>
        <v>108100349554.2453</v>
      </c>
      <c r="K4" s="140">
        <v>102303550086.46312</v>
      </c>
      <c r="L4" s="141">
        <f>J4-K4</f>
        <v>5796799467.7821808</v>
      </c>
      <c r="M4" s="3" t="s">
        <v>16</v>
      </c>
      <c r="N4" s="3" t="s">
        <v>14</v>
      </c>
      <c r="O4" s="135">
        <v>1000000</v>
      </c>
      <c r="P4" s="135">
        <f>SUMIFS('121'!E:E,'121'!B:B,'Fair value 31.12.2023'!M4)</f>
        <v>100860500000</v>
      </c>
      <c r="Q4" s="135">
        <v>100000</v>
      </c>
      <c r="R4" s="135">
        <f t="shared" si="3"/>
        <v>100000000000</v>
      </c>
      <c r="S4" s="136">
        <v>9.0999999999999998E-2</v>
      </c>
      <c r="T4" s="136"/>
      <c r="U4" s="124">
        <v>45184</v>
      </c>
      <c r="V4" s="124">
        <v>47741</v>
      </c>
      <c r="W4" s="121" t="s">
        <v>17</v>
      </c>
      <c r="X4" s="124">
        <v>45223</v>
      </c>
      <c r="Y4" s="124">
        <v>45223</v>
      </c>
      <c r="Z4" s="137">
        <f>SUMIFS('Mua bán - filtered'!N:N,'Mua bán - filtered'!A:A,B4)</f>
        <v>1508356164.3835616</v>
      </c>
      <c r="AB4" s="121"/>
      <c r="AD4" s="151">
        <f t="shared" si="5"/>
        <v>45184</v>
      </c>
      <c r="AE4" s="124">
        <f t="shared" si="5"/>
        <v>47741</v>
      </c>
      <c r="AF4" s="128">
        <f>S4</f>
        <v>9.0999999999999998E-2</v>
      </c>
      <c r="AG4" s="121" t="s">
        <v>157</v>
      </c>
      <c r="AH4" s="121" t="str">
        <f t="shared" si="6"/>
        <v>Năm</v>
      </c>
      <c r="AI4" s="121" cm="1">
        <f t="array" ref="AI4">_xlfn.IFS(AH4="Quý",3,LEFT(AH4,1)="6",6,AH4="Năm",12,AH4="Cuối kỳ",1)</f>
        <v>12</v>
      </c>
      <c r="AJ4" s="124">
        <f>Y4</f>
        <v>45223</v>
      </c>
      <c r="AK4" s="174">
        <f>SUMIFS('Mua bán - filtered'!N:N,'Mua bán - filtered'!A:A,'Fair value 31.12.2023'!B4)</f>
        <v>1508356164.3835616</v>
      </c>
      <c r="AL4" s="152">
        <f t="shared" si="7"/>
        <v>7</v>
      </c>
      <c r="AM4" s="126">
        <f t="shared" si="8"/>
        <v>0</v>
      </c>
      <c r="AN4" s="126"/>
      <c r="AO4" s="151">
        <v>45223</v>
      </c>
      <c r="AP4" s="124">
        <v>45240</v>
      </c>
      <c r="AQ4" s="138">
        <v>45291</v>
      </c>
      <c r="AR4" s="124">
        <v>45550</v>
      </c>
      <c r="AS4" s="124">
        <v>45915</v>
      </c>
      <c r="AT4" s="124">
        <f t="shared" ref="AT4" si="17">EDATE(AS4,12)</f>
        <v>46280</v>
      </c>
      <c r="AU4" s="124">
        <f t="shared" ref="AU4" si="18">EDATE(AT4,12)</f>
        <v>46645</v>
      </c>
      <c r="AV4" s="124">
        <f t="shared" ref="AV4" si="19">EDATE(AU4,12)</f>
        <v>47011</v>
      </c>
      <c r="AW4" s="124">
        <f>EDATE(AV4,12)</f>
        <v>47376</v>
      </c>
      <c r="AX4" s="124">
        <f>EDATE(AW4,12)</f>
        <v>47741</v>
      </c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CG4" s="137">
        <f t="shared" si="9"/>
        <v>0</v>
      </c>
      <c r="CI4" s="156">
        <v>-50331500000</v>
      </c>
      <c r="CJ4" s="157">
        <v>-50529000000</v>
      </c>
      <c r="CK4" s="157">
        <v>0</v>
      </c>
      <c r="CL4" s="157">
        <f>$R$4*$S$4</f>
        <v>9100000000</v>
      </c>
      <c r="CM4" s="157">
        <f t="shared" ref="CM4:CQ4" si="20">$R$4*$S$4</f>
        <v>9100000000</v>
      </c>
      <c r="CN4" s="157">
        <f t="shared" si="20"/>
        <v>9100000000</v>
      </c>
      <c r="CO4" s="157">
        <f t="shared" si="20"/>
        <v>9100000000</v>
      </c>
      <c r="CP4" s="157">
        <f t="shared" si="20"/>
        <v>9100000000</v>
      </c>
      <c r="CQ4" s="157">
        <f t="shared" si="20"/>
        <v>9100000000</v>
      </c>
      <c r="CR4" s="157">
        <v>109100000000</v>
      </c>
      <c r="CS4" s="135"/>
      <c r="CT4" s="158"/>
      <c r="CU4" s="5"/>
      <c r="CX4" s="143"/>
      <c r="DN4" s="325"/>
      <c r="DO4" s="152"/>
      <c r="EA4" s="128">
        <f t="shared" si="10"/>
        <v>4.8193299770354914E-4</v>
      </c>
      <c r="EB4" s="248">
        <f t="shared" si="11"/>
        <v>9.1481932997703547E-2</v>
      </c>
      <c r="EC4" s="250"/>
      <c r="ED4" s="160">
        <f t="shared" si="12"/>
        <v>50331500000</v>
      </c>
      <c r="EE4" s="135">
        <f t="shared" si="13"/>
        <v>101066122177.75439</v>
      </c>
      <c r="EF4" s="135">
        <f t="shared" si="13"/>
        <v>102309863255.60223</v>
      </c>
      <c r="EG4" s="135">
        <f t="shared" si="13"/>
        <v>99766342478.446518</v>
      </c>
      <c r="EH4" s="135">
        <f t="shared" si="13"/>
        <v>99793160336.485703</v>
      </c>
      <c r="EI4" s="135">
        <f t="shared" si="13"/>
        <v>99822431544.017166</v>
      </c>
      <c r="EJ4" s="135">
        <f t="shared" si="13"/>
        <v>99854380538.194778</v>
      </c>
      <c r="EK4" s="135">
        <f t="shared" si="13"/>
        <v>99915393835.646347</v>
      </c>
      <c r="EL4" s="135">
        <f t="shared" si="13"/>
        <v>99955847199.958099</v>
      </c>
      <c r="EM4" s="135">
        <f t="shared" si="13"/>
        <v>1316.2333526611328</v>
      </c>
      <c r="EN4" s="135">
        <f t="shared" si="13"/>
        <v>1.402400733323805E-2</v>
      </c>
      <c r="EO4" s="135">
        <f t="shared" si="13"/>
        <v>1.402400733323805E-2</v>
      </c>
      <c r="EP4" s="135">
        <f t="shared" si="13"/>
        <v>1.402400733323805E-2</v>
      </c>
      <c r="EQ4" s="135">
        <f t="shared" si="13"/>
        <v>1.402400733323805E-2</v>
      </c>
      <c r="ER4" s="135">
        <f>EQ4*(1+$EB4)^((BC3-BB4)/365)-CW4</f>
        <v>718.01475697236378</v>
      </c>
      <c r="ES4" s="135">
        <f>ER4*(1+$EB4)^((BD4-BC3)/365)-CX4</f>
        <v>1.402400733323805E-2</v>
      </c>
      <c r="ET4" s="135">
        <f t="shared" si="13"/>
        <v>1.402400733323805E-2</v>
      </c>
      <c r="EU4" s="135">
        <f t="shared" si="13"/>
        <v>1.402400733323805E-2</v>
      </c>
      <c r="EV4" s="135">
        <f t="shared" si="13"/>
        <v>1.402400733323805E-2</v>
      </c>
      <c r="EW4" s="135">
        <f t="shared" si="13"/>
        <v>1.402400733323805E-2</v>
      </c>
      <c r="EX4" s="135">
        <f t="shared" si="13"/>
        <v>1.402400733323805E-2</v>
      </c>
      <c r="EY4" s="135">
        <f t="shared" si="13"/>
        <v>1.402400733323805E-2</v>
      </c>
      <c r="EZ4" s="135">
        <f t="shared" si="13"/>
        <v>1.402400733323805E-2</v>
      </c>
      <c r="FA4" s="135">
        <f t="shared" si="13"/>
        <v>1.402400733323805E-2</v>
      </c>
      <c r="FB4" s="135">
        <f t="shared" si="13"/>
        <v>1.402400733323805E-2</v>
      </c>
      <c r="FC4" s="135">
        <f t="shared" si="13"/>
        <v>1.402400733323805E-2</v>
      </c>
      <c r="FD4" s="135">
        <f t="shared" si="13"/>
        <v>1.402400733323805E-2</v>
      </c>
      <c r="FE4" s="135">
        <f t="shared" si="13"/>
        <v>1.402400733323805E-2</v>
      </c>
      <c r="FF4" s="135">
        <f t="shared" si="13"/>
        <v>1.402400733323805E-2</v>
      </c>
      <c r="FG4" s="135">
        <f t="shared" si="13"/>
        <v>1.402400733323805E-2</v>
      </c>
      <c r="FH4" s="135">
        <f t="shared" si="13"/>
        <v>1.402400733323805E-2</v>
      </c>
      <c r="FI4" s="135">
        <f t="shared" si="13"/>
        <v>1.402400733323805E-2</v>
      </c>
      <c r="FJ4" s="135">
        <f t="shared" si="13"/>
        <v>1.402400733323805E-2</v>
      </c>
      <c r="FK4" s="135">
        <f t="shared" si="13"/>
        <v>1.402400733323805E-2</v>
      </c>
      <c r="FL4" s="135">
        <f t="shared" si="13"/>
        <v>1.402400733323805E-2</v>
      </c>
      <c r="FM4" s="135">
        <f t="shared" si="13"/>
        <v>1.402400733323805E-2</v>
      </c>
      <c r="FN4" s="135">
        <f t="shared" si="13"/>
        <v>1.402400733323805E-2</v>
      </c>
      <c r="FO4" s="135">
        <f t="shared" si="13"/>
        <v>1.402400733323805E-2</v>
      </c>
      <c r="FP4" s="135">
        <f t="shared" si="13"/>
        <v>1.402400733323805E-2</v>
      </c>
      <c r="FQ4" s="135">
        <f t="shared" si="13"/>
        <v>1.402400733323805E-2</v>
      </c>
      <c r="FR4" s="135">
        <f t="shared" si="13"/>
        <v>1.402400733323805E-2</v>
      </c>
      <c r="FS4" s="135">
        <f t="shared" si="13"/>
        <v>1.402400733323805E-2</v>
      </c>
      <c r="FT4" s="135">
        <f t="shared" si="13"/>
        <v>1.402400733323805E-2</v>
      </c>
      <c r="FU4" s="137">
        <f t="shared" si="13"/>
        <v>1.402400733323805E-2</v>
      </c>
      <c r="FW4" s="134">
        <f>FW3+1</f>
        <v>2</v>
      </c>
      <c r="FX4" s="164">
        <v>1</v>
      </c>
      <c r="FY4" s="124">
        <f>HLOOKUP(FX4,$AO$2:CG4,FW4+1,0)</f>
        <v>45240</v>
      </c>
      <c r="FZ4" s="135">
        <f>HLOOKUP(FX4,$ED$2:FU4,FW4+1,0)</f>
        <v>101066122177.75439</v>
      </c>
      <c r="GA4" s="180">
        <f t="shared" si="14"/>
        <v>102303550086.46312</v>
      </c>
      <c r="GB4" s="336">
        <f t="shared" si="15"/>
        <v>102368856164.38356</v>
      </c>
      <c r="GC4" s="181">
        <f t="shared" ref="GC4:GC29" si="21">GB4-GA4</f>
        <v>65306077.920440674</v>
      </c>
      <c r="GD4" s="165">
        <f t="shared" si="16"/>
        <v>0</v>
      </c>
    </row>
    <row r="5" spans="1:186">
      <c r="A5" s="134" t="s">
        <v>83</v>
      </c>
      <c r="B5" s="121" t="s">
        <v>18</v>
      </c>
      <c r="C5" s="121" t="s">
        <v>154</v>
      </c>
      <c r="D5" s="121" t="s">
        <v>156</v>
      </c>
      <c r="G5" s="128">
        <v>4.7E-2</v>
      </c>
      <c r="H5" s="128">
        <v>4.9000000000000002E-2</v>
      </c>
      <c r="I5" s="128">
        <f t="shared" ref="I5:I6" si="22">S5-G5+H5</f>
        <v>7.6999999999999999E-2</v>
      </c>
      <c r="J5" s="140">
        <f>XNPV(I5,CY5:CZ5,BE5:BF5)</f>
        <v>20514903903.493984</v>
      </c>
      <c r="K5" s="140">
        <v>20606539788.430408</v>
      </c>
      <c r="L5" s="141">
        <f t="shared" ref="L5:L29" si="23">J5-K5</f>
        <v>-91635884.936424255</v>
      </c>
      <c r="M5" s="3" t="s">
        <v>18</v>
      </c>
      <c r="N5" s="3" t="s">
        <v>14</v>
      </c>
      <c r="O5" s="135">
        <v>2000</v>
      </c>
      <c r="P5" s="135">
        <f>SUMIFS('121'!E:E,'121'!B:B,'Fair value 31.12.2023'!M5)</f>
        <v>20000000000</v>
      </c>
      <c r="Q5" s="135">
        <v>10000000</v>
      </c>
      <c r="R5" s="135">
        <f t="shared" si="3"/>
        <v>20000000000</v>
      </c>
      <c r="S5" s="136">
        <v>7.4999999999999997E-2</v>
      </c>
      <c r="T5" s="135"/>
      <c r="U5" s="124">
        <v>44449</v>
      </c>
      <c r="V5" s="124">
        <v>47006</v>
      </c>
      <c r="W5" s="121" t="s">
        <v>17</v>
      </c>
      <c r="X5" s="124">
        <v>44449</v>
      </c>
      <c r="Y5" s="124">
        <v>45179</v>
      </c>
      <c r="Z5" s="137">
        <f>SUMIFS('Mua bán - filtered'!N:N,'Mua bán - filtered'!A:A,B5)</f>
        <v>464383561.6438356</v>
      </c>
      <c r="AB5" s="121" t="s">
        <v>158</v>
      </c>
      <c r="AD5" s="151">
        <f t="shared" si="5"/>
        <v>44449</v>
      </c>
      <c r="AE5" s="124">
        <f t="shared" si="5"/>
        <v>47006</v>
      </c>
      <c r="AF5" s="128">
        <f>S5</f>
        <v>7.4999999999999997E-2</v>
      </c>
      <c r="AG5" s="121" t="s">
        <v>159</v>
      </c>
      <c r="AH5" s="121" t="str">
        <f t="shared" si="6"/>
        <v>Năm</v>
      </c>
      <c r="AI5" s="121" cm="1">
        <f t="array" ref="AI5">_xlfn.IFS(AH5="Quý",3,LEFT(AH5,1)="6",6,AH5="Năm",12,AH5="Cuối kỳ",1)</f>
        <v>12</v>
      </c>
      <c r="AJ5" s="124">
        <f>Y5</f>
        <v>45179</v>
      </c>
      <c r="AK5" s="174">
        <f>SUMIFS('Mua bán - filtered'!N:N,'Mua bán - filtered'!A:A,'Fair value 31.12.2023'!B5)</f>
        <v>464383561.6438356</v>
      </c>
      <c r="AL5" s="152">
        <f t="shared" si="7"/>
        <v>7</v>
      </c>
      <c r="AM5" s="126">
        <f t="shared" si="8"/>
        <v>0</v>
      </c>
      <c r="AN5" s="126"/>
      <c r="AO5" s="151">
        <v>44449</v>
      </c>
      <c r="AP5" s="124">
        <v>44474</v>
      </c>
      <c r="AQ5" s="124">
        <v>44476</v>
      </c>
      <c r="AR5" s="124">
        <v>44477</v>
      </c>
      <c r="AS5" s="124">
        <v>44480</v>
      </c>
      <c r="AT5" s="124">
        <v>44481</v>
      </c>
      <c r="AU5" s="124">
        <v>44482</v>
      </c>
      <c r="AV5" s="124">
        <v>44483</v>
      </c>
      <c r="AW5" s="124">
        <v>44484</v>
      </c>
      <c r="AX5" s="124">
        <v>44487</v>
      </c>
      <c r="AY5" s="124">
        <v>44816</v>
      </c>
      <c r="AZ5" s="124">
        <v>44903</v>
      </c>
      <c r="BA5" s="124">
        <v>45042</v>
      </c>
      <c r="BB5" s="124">
        <v>45180</v>
      </c>
      <c r="BC5" s="124">
        <v>45181</v>
      </c>
      <c r="BD5" s="124">
        <v>45239</v>
      </c>
      <c r="BE5" s="138">
        <v>45291</v>
      </c>
      <c r="BF5" s="124">
        <v>45327</v>
      </c>
      <c r="BG5" s="124"/>
      <c r="BH5" s="124"/>
      <c r="BI5" s="124"/>
      <c r="BJ5" s="124"/>
      <c r="BK5" s="124"/>
      <c r="BL5" s="124"/>
      <c r="BM5" s="124"/>
      <c r="CG5" s="137">
        <f t="shared" si="9"/>
        <v>-1679</v>
      </c>
      <c r="CI5" s="159">
        <v>-70000000000</v>
      </c>
      <c r="CJ5" s="143">
        <v>48539017380</v>
      </c>
      <c r="CK5" s="143">
        <v>-7238480400</v>
      </c>
      <c r="CL5" s="143">
        <v>-5631038000</v>
      </c>
      <c r="CM5" s="143">
        <v>-6841726840</v>
      </c>
      <c r="CN5" s="143">
        <v>-1509501300</v>
      </c>
      <c r="CO5" s="143">
        <v>-4328088460</v>
      </c>
      <c r="CP5" s="143">
        <v>-11074031100</v>
      </c>
      <c r="CQ5" s="143">
        <v>-5236026120</v>
      </c>
      <c r="CR5" s="143">
        <v>-6750396730</v>
      </c>
      <c r="CS5" s="143">
        <v>5057500000</v>
      </c>
      <c r="CT5" s="143">
        <v>48390000000</v>
      </c>
      <c r="CU5" s="143">
        <v>-50868580000</v>
      </c>
      <c r="CV5" s="157">
        <v>3650000000</v>
      </c>
      <c r="CW5" s="143">
        <v>1460000000</v>
      </c>
      <c r="CX5" s="143">
        <v>49366440000</v>
      </c>
      <c r="CY5" s="143">
        <v>0</v>
      </c>
      <c r="CZ5" s="143">
        <v>20665548000</v>
      </c>
      <c r="DA5" s="143"/>
      <c r="DB5" s="143"/>
      <c r="DC5" s="143"/>
      <c r="DN5" s="325"/>
      <c r="DO5" s="152"/>
      <c r="EA5" s="128">
        <f t="shared" si="10"/>
        <v>-1.8887004256248452E-2</v>
      </c>
      <c r="EB5" s="248">
        <f t="shared" si="11"/>
        <v>5.6112995743751545E-2</v>
      </c>
      <c r="EC5" s="250"/>
      <c r="ED5" s="160">
        <f t="shared" si="12"/>
        <v>70000000000</v>
      </c>
      <c r="EE5" s="135">
        <f t="shared" si="13"/>
        <v>21723230365.728149</v>
      </c>
      <c r="EF5" s="135">
        <f t="shared" si="13"/>
        <v>28968210278.887901</v>
      </c>
      <c r="EG5" s="135">
        <f t="shared" si="13"/>
        <v>34603581547.461166</v>
      </c>
      <c r="EH5" s="135">
        <f t="shared" si="13"/>
        <v>41460839451.567497</v>
      </c>
      <c r="EI5" s="135">
        <f t="shared" si="13"/>
        <v>42976542755.449928</v>
      </c>
      <c r="EJ5" s="135">
        <f t="shared" si="13"/>
        <v>47311059948.889687</v>
      </c>
      <c r="EK5" s="135">
        <f t="shared" si="13"/>
        <v>58392168169.887871</v>
      </c>
      <c r="EL5" s="135">
        <f t="shared" si="13"/>
        <v>63636929000.966652</v>
      </c>
      <c r="EM5" s="135">
        <f t="shared" si="13"/>
        <v>70415887780.894592</v>
      </c>
      <c r="EN5" s="135">
        <f t="shared" si="13"/>
        <v>68910263441.749756</v>
      </c>
      <c r="EO5" s="135">
        <f t="shared" si="13"/>
        <v>21422859532.085556</v>
      </c>
      <c r="EP5" s="135">
        <f t="shared" si="13"/>
        <v>72741505570.247467</v>
      </c>
      <c r="EQ5" s="135">
        <f t="shared" si="13"/>
        <v>70608600587.452347</v>
      </c>
      <c r="ER5" s="135">
        <f t="shared" si="13"/>
        <v>69159162718.38768</v>
      </c>
      <c r="ES5" s="135">
        <f t="shared" si="13"/>
        <v>20395316136.416077</v>
      </c>
      <c r="ET5" s="135">
        <f t="shared" si="13"/>
        <v>20554568285.325188</v>
      </c>
      <c r="EU5" s="135">
        <f t="shared" si="13"/>
        <v>-377.45983123779297</v>
      </c>
      <c r="EV5" s="135">
        <f t="shared" si="13"/>
        <v>-0.42897350114985455</v>
      </c>
      <c r="EW5" s="135">
        <f t="shared" si="13"/>
        <v>-0.42897350114985455</v>
      </c>
      <c r="EX5" s="135">
        <f t="shared" si="13"/>
        <v>-0.42897350114985455</v>
      </c>
      <c r="EY5" s="135">
        <f t="shared" si="13"/>
        <v>-0.42897350114985455</v>
      </c>
      <c r="EZ5" s="135">
        <f t="shared" si="13"/>
        <v>-0.42897350114985455</v>
      </c>
      <c r="FA5" s="135">
        <f t="shared" si="13"/>
        <v>-0.42897350114985455</v>
      </c>
      <c r="FB5" s="135">
        <f t="shared" si="13"/>
        <v>-0.42897350114985455</v>
      </c>
      <c r="FC5" s="135">
        <f t="shared" si="13"/>
        <v>-0.42897350114985455</v>
      </c>
      <c r="FD5" s="135">
        <f t="shared" si="13"/>
        <v>-0.42897350114985455</v>
      </c>
      <c r="FE5" s="135">
        <f t="shared" si="13"/>
        <v>-0.42897350114985455</v>
      </c>
      <c r="FF5" s="135">
        <f t="shared" si="13"/>
        <v>-0.42897350114985455</v>
      </c>
      <c r="FG5" s="135">
        <f t="shared" si="13"/>
        <v>-0.42897350114985455</v>
      </c>
      <c r="FH5" s="135">
        <f t="shared" si="13"/>
        <v>-0.42897350114985455</v>
      </c>
      <c r="FI5" s="135">
        <f t="shared" si="13"/>
        <v>-0.42897350114985455</v>
      </c>
      <c r="FJ5" s="135">
        <f t="shared" si="13"/>
        <v>-0.42897350114985455</v>
      </c>
      <c r="FK5" s="135">
        <f t="shared" si="13"/>
        <v>-0.42897350114985455</v>
      </c>
      <c r="FL5" s="135">
        <f t="shared" si="13"/>
        <v>-0.42897350114985455</v>
      </c>
      <c r="FM5" s="135">
        <f t="shared" si="13"/>
        <v>-0.42897350114985455</v>
      </c>
      <c r="FN5" s="135">
        <f t="shared" si="13"/>
        <v>-0.42897350114985455</v>
      </c>
      <c r="FO5" s="135">
        <f t="shared" si="13"/>
        <v>-0.42897350114985455</v>
      </c>
      <c r="FP5" s="135">
        <f t="shared" si="13"/>
        <v>-0.42897350114985455</v>
      </c>
      <c r="FQ5" s="135">
        <f t="shared" si="13"/>
        <v>-0.42897350114985455</v>
      </c>
      <c r="FR5" s="135">
        <f t="shared" si="13"/>
        <v>-0.42897350114985455</v>
      </c>
      <c r="FS5" s="135">
        <f t="shared" si="13"/>
        <v>-0.42897350114985455</v>
      </c>
      <c r="FT5" s="135">
        <f t="shared" si="13"/>
        <v>-0.42897350114985455</v>
      </c>
      <c r="FU5" s="137">
        <f t="shared" si="13"/>
        <v>-0.42897350114985455</v>
      </c>
      <c r="FW5" s="134">
        <f t="shared" ref="FW5:FW29" si="24">FW4+1</f>
        <v>3</v>
      </c>
      <c r="FX5" s="164">
        <v>15</v>
      </c>
      <c r="FY5" s="124">
        <f>HLOOKUP(FX5,$AO$2:CG5,FW5+1,0)</f>
        <v>45239</v>
      </c>
      <c r="FZ5" s="135">
        <f>HLOOKUP(FX5,$ED$2:FU5,FW5+1,0)</f>
        <v>20395316136.416077</v>
      </c>
      <c r="GA5" s="180">
        <f t="shared" si="14"/>
        <v>20606539788.430408</v>
      </c>
      <c r="GB5" s="334">
        <f t="shared" si="15"/>
        <v>20464383561.643837</v>
      </c>
      <c r="GC5" s="181">
        <f t="shared" si="21"/>
        <v>-142156226.7865715</v>
      </c>
      <c r="GD5" s="165">
        <f t="shared" si="16"/>
        <v>0</v>
      </c>
    </row>
    <row r="6" spans="1:186">
      <c r="A6" s="134" t="s">
        <v>83</v>
      </c>
      <c r="B6" s="121" t="s">
        <v>19</v>
      </c>
      <c r="C6" s="121" t="s">
        <v>154</v>
      </c>
      <c r="D6" s="121" t="s">
        <v>156</v>
      </c>
      <c r="G6" s="128">
        <v>4.7E-2</v>
      </c>
      <c r="H6" s="128">
        <v>4.9000000000000002E-2</v>
      </c>
      <c r="I6" s="128">
        <f t="shared" si="22"/>
        <v>7.6999999999999999E-2</v>
      </c>
      <c r="J6" s="140">
        <f>XNPV(I6,CO6:CP6,AU6:AV6)</f>
        <v>30714913662.10524</v>
      </c>
      <c r="K6" s="140">
        <v>30726923842.679722</v>
      </c>
      <c r="L6" s="141">
        <f t="shared" si="23"/>
        <v>-12010180.574481964</v>
      </c>
      <c r="M6" s="3" t="s">
        <v>19</v>
      </c>
      <c r="N6" s="3" t="s">
        <v>14</v>
      </c>
      <c r="O6" s="135">
        <v>3000</v>
      </c>
      <c r="P6" s="135">
        <f>SUMIFS('121'!E:E,'121'!B:B,'Fair value 31.12.2023'!M6)</f>
        <v>30000000000</v>
      </c>
      <c r="Q6" s="135">
        <v>10000000</v>
      </c>
      <c r="R6" s="135">
        <f t="shared" si="3"/>
        <v>30000000000</v>
      </c>
      <c r="S6" s="136">
        <v>7.4999999999999997E-2</v>
      </c>
      <c r="T6" s="136"/>
      <c r="U6" s="124">
        <v>44459</v>
      </c>
      <c r="V6" s="124">
        <v>47016</v>
      </c>
      <c r="W6" s="121" t="s">
        <v>17</v>
      </c>
      <c r="X6" s="124">
        <v>44459</v>
      </c>
      <c r="Y6" s="124">
        <v>45189</v>
      </c>
      <c r="Z6" s="141">
        <f t="shared" ref="Z6" si="25">R6*S6*($Y$1-Y6+1)/365</f>
        <v>634931506.84931505</v>
      </c>
      <c r="AB6" s="121" t="s">
        <v>158</v>
      </c>
      <c r="AD6" s="151">
        <f t="shared" si="5"/>
        <v>44459</v>
      </c>
      <c r="AE6" s="124">
        <f t="shared" si="5"/>
        <v>47016</v>
      </c>
      <c r="AF6" s="128">
        <f>S6</f>
        <v>7.4999999999999997E-2</v>
      </c>
      <c r="AG6" s="121" t="s">
        <v>160</v>
      </c>
      <c r="AH6" s="121" t="str">
        <f t="shared" si="6"/>
        <v>Năm</v>
      </c>
      <c r="AI6" s="121" cm="1">
        <f t="array" ref="AI6">_xlfn.IFS(AH6="Quý",3,LEFT(AH6,1)="6",6,AH6="Năm",12,AH6="Cuối kỳ",1)</f>
        <v>12</v>
      </c>
      <c r="AJ6" s="124">
        <f>Y6</f>
        <v>45189</v>
      </c>
      <c r="AK6" s="174">
        <f>R6*S6*($Y$1-Y6+1)/365</f>
        <v>634931506.84931505</v>
      </c>
      <c r="AL6" s="152">
        <f t="shared" si="7"/>
        <v>7</v>
      </c>
      <c r="AM6" s="126">
        <f t="shared" si="8"/>
        <v>0</v>
      </c>
      <c r="AN6" s="126"/>
      <c r="AO6" s="151">
        <v>44459</v>
      </c>
      <c r="AP6" s="124">
        <v>44467</v>
      </c>
      <c r="AQ6" s="124">
        <v>44469</v>
      </c>
      <c r="AR6" s="124">
        <v>44470</v>
      </c>
      <c r="AS6" s="124">
        <v>44824</v>
      </c>
      <c r="AT6" s="124">
        <v>45189</v>
      </c>
      <c r="AU6" s="138">
        <v>45291</v>
      </c>
      <c r="AV6" s="124">
        <v>45327</v>
      </c>
      <c r="AW6" s="124"/>
      <c r="AX6" s="124"/>
      <c r="AY6" s="124"/>
      <c r="AZ6" s="124"/>
      <c r="BA6" s="124"/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CG6" s="137">
        <f t="shared" si="9"/>
        <v>-1689</v>
      </c>
      <c r="CI6" s="156">
        <v>-10400000000</v>
      </c>
      <c r="CJ6" s="157">
        <v>-4206651120</v>
      </c>
      <c r="CK6" s="157">
        <v>-9418607300</v>
      </c>
      <c r="CL6" s="157">
        <v>-6013064400</v>
      </c>
      <c r="CM6" s="129">
        <v>2167500000</v>
      </c>
      <c r="CN6" s="5">
        <v>2190000000</v>
      </c>
      <c r="CO6" s="237">
        <v>0</v>
      </c>
      <c r="CP6" s="237">
        <v>30940458000</v>
      </c>
      <c r="CQ6" s="5"/>
      <c r="CR6" s="5"/>
      <c r="CS6" s="5"/>
      <c r="CV6" s="126"/>
      <c r="DN6" s="325"/>
      <c r="DO6" s="152"/>
      <c r="EA6" s="128">
        <f t="shared" si="10"/>
        <v>-5.9017241001127485E-4</v>
      </c>
      <c r="EB6" s="248">
        <f t="shared" si="11"/>
        <v>7.4409827589988722E-2</v>
      </c>
      <c r="EC6" s="250"/>
      <c r="ED6" s="160">
        <f t="shared" si="12"/>
        <v>10400000000</v>
      </c>
      <c r="EE6" s="135">
        <f t="shared" si="13"/>
        <v>14623023966.80748</v>
      </c>
      <c r="EF6" s="135">
        <f t="shared" si="13"/>
        <v>24047383173.416546</v>
      </c>
      <c r="EG6" s="135">
        <f t="shared" si="13"/>
        <v>30065176578.287899</v>
      </c>
      <c r="EH6" s="135">
        <f t="shared" si="13"/>
        <v>30065027510.851395</v>
      </c>
      <c r="EI6" s="135">
        <f t="shared" si="13"/>
        <v>30112161024.422115</v>
      </c>
      <c r="EJ6" s="135">
        <f t="shared" si="13"/>
        <v>30722208831.2775</v>
      </c>
      <c r="EK6" s="135">
        <f t="shared" si="13"/>
        <v>-183.88154983520508</v>
      </c>
      <c r="EL6" s="135">
        <f t="shared" si="13"/>
        <v>-2.4759393202896763E-2</v>
      </c>
      <c r="EM6" s="135">
        <f t="shared" si="13"/>
        <v>-2.4759393202896763E-2</v>
      </c>
      <c r="EN6" s="135">
        <f t="shared" si="13"/>
        <v>-2.4759393202896763E-2</v>
      </c>
      <c r="EO6" s="135">
        <f t="shared" si="13"/>
        <v>-2.4759393202896763E-2</v>
      </c>
      <c r="EP6" s="135">
        <f t="shared" si="13"/>
        <v>-2.4759393202896763E-2</v>
      </c>
      <c r="EQ6" s="135">
        <f t="shared" si="13"/>
        <v>-2.4759393202896763E-2</v>
      </c>
      <c r="ER6" s="135">
        <f t="shared" si="13"/>
        <v>-2.4759393202896763E-2</v>
      </c>
      <c r="ES6" s="135">
        <f t="shared" si="13"/>
        <v>-2.4759393202896763E-2</v>
      </c>
      <c r="ET6" s="135">
        <f t="shared" si="13"/>
        <v>-2.4759393202896763E-2</v>
      </c>
      <c r="EU6" s="135">
        <f t="shared" si="13"/>
        <v>-2.4759393202896763E-2</v>
      </c>
      <c r="EV6" s="135">
        <f t="shared" si="13"/>
        <v>-2.4759393202896763E-2</v>
      </c>
      <c r="EW6" s="135">
        <f t="shared" si="13"/>
        <v>-2.4759393202896763E-2</v>
      </c>
      <c r="EX6" s="135">
        <f t="shared" si="13"/>
        <v>-2.4759393202896763E-2</v>
      </c>
      <c r="EY6" s="135">
        <f t="shared" si="13"/>
        <v>-2.4759393202896763E-2</v>
      </c>
      <c r="EZ6" s="135">
        <f t="shared" si="13"/>
        <v>-2.4759393202896763E-2</v>
      </c>
      <c r="FA6" s="135">
        <f t="shared" si="13"/>
        <v>-2.4759393202896763E-2</v>
      </c>
      <c r="FB6" s="135">
        <f t="shared" si="13"/>
        <v>-2.4759393202896763E-2</v>
      </c>
      <c r="FC6" s="135">
        <f t="shared" si="13"/>
        <v>-2.4759393202896763E-2</v>
      </c>
      <c r="FD6" s="135">
        <f t="shared" si="13"/>
        <v>-2.4759393202896763E-2</v>
      </c>
      <c r="FE6" s="135">
        <f t="shared" si="13"/>
        <v>-2.4759393202896763E-2</v>
      </c>
      <c r="FF6" s="135">
        <f t="shared" si="13"/>
        <v>-2.4759393202896763E-2</v>
      </c>
      <c r="FG6" s="135">
        <f t="shared" si="13"/>
        <v>-2.4759393202896763E-2</v>
      </c>
      <c r="FH6" s="135">
        <f t="shared" si="13"/>
        <v>-2.4759393202896763E-2</v>
      </c>
      <c r="FI6" s="135">
        <f t="shared" si="13"/>
        <v>-2.4759393202896763E-2</v>
      </c>
      <c r="FJ6" s="135">
        <f t="shared" si="13"/>
        <v>-2.4759393202896763E-2</v>
      </c>
      <c r="FK6" s="135">
        <f t="shared" si="13"/>
        <v>-2.4759393202896763E-2</v>
      </c>
      <c r="FL6" s="135">
        <f t="shared" si="13"/>
        <v>-2.4759393202896763E-2</v>
      </c>
      <c r="FM6" s="135">
        <f t="shared" si="13"/>
        <v>-2.4759393202896763E-2</v>
      </c>
      <c r="FN6" s="135">
        <f t="shared" si="13"/>
        <v>-2.4759393202896763E-2</v>
      </c>
      <c r="FO6" s="135">
        <f t="shared" si="13"/>
        <v>-2.4759393202896763E-2</v>
      </c>
      <c r="FP6" s="135">
        <f t="shared" si="13"/>
        <v>-2.4759393202896763E-2</v>
      </c>
      <c r="FQ6" s="135">
        <f t="shared" si="13"/>
        <v>-2.4759393202896763E-2</v>
      </c>
      <c r="FR6" s="135">
        <f t="shared" si="13"/>
        <v>-2.4759393202896763E-2</v>
      </c>
      <c r="FS6" s="135">
        <f t="shared" si="13"/>
        <v>-2.4759393202896763E-2</v>
      </c>
      <c r="FT6" s="135">
        <f t="shared" si="13"/>
        <v>-2.4759393202896763E-2</v>
      </c>
      <c r="FU6" s="137">
        <f t="shared" si="13"/>
        <v>-2.4759393202896763E-2</v>
      </c>
      <c r="FW6" s="134">
        <f t="shared" si="24"/>
        <v>4</v>
      </c>
      <c r="FX6" s="164">
        <v>5</v>
      </c>
      <c r="FY6" s="124">
        <f>HLOOKUP(FX6,$AO$2:CG6,FW6+1,0)</f>
        <v>45189</v>
      </c>
      <c r="FZ6" s="135">
        <f>HLOOKUP(FX6,$ED$2:FU6,FW6+1,0)</f>
        <v>30112161024.422115</v>
      </c>
      <c r="GA6" s="180">
        <f t="shared" si="14"/>
        <v>30726923842.679722</v>
      </c>
      <c r="GB6" s="334">
        <f t="shared" si="15"/>
        <v>30634931506.849316</v>
      </c>
      <c r="GC6" s="181">
        <f t="shared" si="21"/>
        <v>-91992335.830406189</v>
      </c>
      <c r="GD6" s="165">
        <f t="shared" si="16"/>
        <v>0</v>
      </c>
    </row>
    <row r="7" spans="1:186">
      <c r="A7" s="134" t="s">
        <v>83</v>
      </c>
      <c r="B7" s="121" t="s">
        <v>20</v>
      </c>
      <c r="C7" s="121" t="s">
        <v>154</v>
      </c>
      <c r="D7" s="121" t="str">
        <f>VLOOKUP(B7,'NTFS - Supporting'!B:C,2,0)</f>
        <v>Corp</v>
      </c>
      <c r="G7" s="128">
        <v>4.4999999999999998E-2</v>
      </c>
      <c r="H7" s="128">
        <v>4.9000000000000002E-2</v>
      </c>
      <c r="I7" s="128">
        <f>S7-G7+H7</f>
        <v>0.109</v>
      </c>
      <c r="J7" s="140">
        <f>XNPV(I7,DM7:DO7,BS7:BU7)</f>
        <v>6747380840.4247904</v>
      </c>
      <c r="K7" s="140">
        <v>6893607553.1166754</v>
      </c>
      <c r="L7" s="141">
        <f>J7-K7</f>
        <v>-146226712.69188499</v>
      </c>
      <c r="M7" s="3" t="s">
        <v>20</v>
      </c>
      <c r="N7" s="3" t="s">
        <v>14</v>
      </c>
      <c r="O7" s="140">
        <v>58996</v>
      </c>
      <c r="P7" s="140">
        <f>SUMIFS('121'!E:E,'121'!B:B,'Fair value 31.12.2023'!M7)</f>
        <v>5899600000</v>
      </c>
      <c r="Q7" s="140">
        <v>100000</v>
      </c>
      <c r="R7" s="140">
        <f t="shared" si="3"/>
        <v>5899600000</v>
      </c>
      <c r="S7" s="256">
        <v>0.105</v>
      </c>
      <c r="T7" s="229"/>
      <c r="U7" s="124">
        <v>44477</v>
      </c>
      <c r="V7" s="254">
        <v>45732</v>
      </c>
      <c r="W7" s="121" t="s">
        <v>161</v>
      </c>
      <c r="X7" s="124">
        <v>44565</v>
      </c>
      <c r="Y7" s="124">
        <v>44832</v>
      </c>
      <c r="Z7" s="141">
        <f>R7*S7*($X$1-Y7)/365</f>
        <v>286817539.72602737</v>
      </c>
      <c r="AA7" s="13">
        <v>45001</v>
      </c>
      <c r="AB7" s="121"/>
      <c r="AC7" s="121"/>
      <c r="AD7" s="151">
        <f t="shared" si="5"/>
        <v>44477</v>
      </c>
      <c r="AE7" s="124">
        <f t="shared" si="5"/>
        <v>45732</v>
      </c>
      <c r="AF7" s="128">
        <v>0.105</v>
      </c>
      <c r="AG7" s="121" t="s">
        <v>162</v>
      </c>
      <c r="AH7" s="121" t="str">
        <f t="shared" si="6"/>
        <v>Cuối kỳ</v>
      </c>
      <c r="AI7" s="121" cm="1">
        <f t="array" ref="AI7">_xlfn.IFS(AH7="Quý",3,LEFT(AH7,1)="6",6,AH7="Năm",12,AH7="Cuối kỳ",1)</f>
        <v>1</v>
      </c>
      <c r="AJ7" s="124">
        <v>44832</v>
      </c>
      <c r="AK7" s="175">
        <f>R7*S7*($X$1-Y7)/365</f>
        <v>286817539.72602737</v>
      </c>
      <c r="AL7" s="152">
        <f t="shared" si="7"/>
        <v>1</v>
      </c>
      <c r="AM7" s="126">
        <f t="shared" si="8"/>
        <v>0</v>
      </c>
      <c r="AN7" s="126"/>
      <c r="AO7" s="151">
        <v>44488</v>
      </c>
      <c r="AP7" s="124">
        <v>44489</v>
      </c>
      <c r="AQ7" s="124">
        <v>44490</v>
      </c>
      <c r="AR7" s="124">
        <v>44491</v>
      </c>
      <c r="AS7" s="124">
        <v>44494</v>
      </c>
      <c r="AT7" s="124">
        <v>44495</v>
      </c>
      <c r="AU7" s="124">
        <v>44496</v>
      </c>
      <c r="AV7" s="124">
        <v>44497</v>
      </c>
      <c r="AW7" s="124">
        <v>44498</v>
      </c>
      <c r="AX7" s="124">
        <v>44501</v>
      </c>
      <c r="AY7" s="124">
        <v>44502</v>
      </c>
      <c r="AZ7" s="124">
        <v>44504</v>
      </c>
      <c r="BA7" s="124">
        <v>44505</v>
      </c>
      <c r="BB7" s="124">
        <v>44508</v>
      </c>
      <c r="BC7" s="124">
        <v>44565</v>
      </c>
      <c r="BD7" s="124">
        <v>44567</v>
      </c>
      <c r="BE7" s="124">
        <v>44649</v>
      </c>
      <c r="BF7" s="124">
        <v>44659</v>
      </c>
      <c r="BG7" s="124">
        <v>44832</v>
      </c>
      <c r="BH7" s="124">
        <v>44832</v>
      </c>
      <c r="BI7" s="124">
        <v>44832</v>
      </c>
      <c r="BJ7" s="124">
        <v>44844</v>
      </c>
      <c r="BK7" s="124">
        <v>44925</v>
      </c>
      <c r="BL7" s="124">
        <v>44925</v>
      </c>
      <c r="BM7" s="124">
        <v>45008</v>
      </c>
      <c r="BN7" s="124">
        <v>45008</v>
      </c>
      <c r="BO7" s="124">
        <v>45232</v>
      </c>
      <c r="BP7" s="124">
        <v>45232</v>
      </c>
      <c r="BQ7" s="124">
        <v>45272</v>
      </c>
      <c r="BR7" s="124">
        <v>45272</v>
      </c>
      <c r="BS7" s="124">
        <v>45291</v>
      </c>
      <c r="BT7" s="124">
        <v>45399</v>
      </c>
      <c r="BU7" s="124">
        <v>45732</v>
      </c>
      <c r="CG7" s="141">
        <f>MAX(AO7:BT7)-AE7</f>
        <v>-333</v>
      </c>
      <c r="CI7" s="172">
        <v>-2012080000</v>
      </c>
      <c r="CJ7" s="172">
        <v>-2213926000</v>
      </c>
      <c r="CK7" s="171">
        <v>-5033100000</v>
      </c>
      <c r="CL7" s="69">
        <v>-6041400000</v>
      </c>
      <c r="CM7" s="69">
        <v>-1007770000</v>
      </c>
      <c r="CN7" s="69">
        <v>-4032200000</v>
      </c>
      <c r="CO7" s="69">
        <v>-2520850000</v>
      </c>
      <c r="CP7" s="69">
        <v>6051780000</v>
      </c>
      <c r="CQ7" s="171">
        <v>-8071360000</v>
      </c>
      <c r="CR7" s="69">
        <v>-7068460000</v>
      </c>
      <c r="CS7" s="140">
        <v>-3333231000</v>
      </c>
      <c r="CT7" s="140">
        <v>1010640000</v>
      </c>
      <c r="CU7" s="140">
        <v>2021860000</v>
      </c>
      <c r="CV7" s="238">
        <v>-3035370000</v>
      </c>
      <c r="CW7" s="238">
        <v>-15379800000</v>
      </c>
      <c r="CX7" s="238">
        <v>-5129450000</v>
      </c>
      <c r="CY7" s="238">
        <v>1822397260</v>
      </c>
      <c r="CZ7" s="238">
        <v>1047123288</v>
      </c>
      <c r="DA7" s="238">
        <v>12177298630</v>
      </c>
      <c r="DB7" s="238">
        <v>21374509589</v>
      </c>
      <c r="DC7" s="238">
        <v>778093151</v>
      </c>
      <c r="DD7" s="238">
        <v>442208219</v>
      </c>
      <c r="DE7" s="238">
        <v>3765502857</v>
      </c>
      <c r="DF7" s="238">
        <v>2145666547</v>
      </c>
      <c r="DG7" s="238">
        <v>60667127</v>
      </c>
      <c r="DH7" s="140">
        <v>106167472</v>
      </c>
      <c r="DI7" s="140">
        <v>491300000</v>
      </c>
      <c r="DJ7" s="140">
        <v>280700000</v>
      </c>
      <c r="DK7" s="140">
        <v>3813300000</v>
      </c>
      <c r="DL7" s="140">
        <v>6673200000</v>
      </c>
      <c r="DM7" s="140">
        <v>0</v>
      </c>
      <c r="DN7" s="326">
        <v>90000000</v>
      </c>
      <c r="DO7" s="141">
        <v>7546881463.0136986</v>
      </c>
      <c r="EA7" s="128">
        <f t="shared" si="10"/>
        <v>-1.5045203566551174E-2</v>
      </c>
      <c r="EB7" s="247">
        <f t="shared" si="11"/>
        <v>8.9954796433448822E-2</v>
      </c>
      <c r="EC7" s="250"/>
      <c r="ED7" s="161">
        <f t="shared" si="12"/>
        <v>2012080000</v>
      </c>
      <c r="EE7" s="140">
        <f t="shared" si="13"/>
        <v>4226480886.0977263</v>
      </c>
      <c r="EF7" s="140">
        <f t="shared" si="13"/>
        <v>9260578409.563549</v>
      </c>
      <c r="EG7" s="140">
        <f t="shared" si="13"/>
        <v>15304164068.157446</v>
      </c>
      <c r="EH7" s="140">
        <f t="shared" si="13"/>
        <v>16322772777.653362</v>
      </c>
      <c r="EI7" s="140">
        <f t="shared" si="13"/>
        <v>20358825237.728733</v>
      </c>
      <c r="EJ7" s="140">
        <f t="shared" si="13"/>
        <v>22884480276.828289</v>
      </c>
      <c r="EK7" s="140">
        <f t="shared" si="13"/>
        <v>16838101414.72398</v>
      </c>
      <c r="EL7" s="140">
        <f t="shared" si="13"/>
        <v>24913435501.377571</v>
      </c>
      <c r="EM7" s="140">
        <f t="shared" si="13"/>
        <v>31999539685.584045</v>
      </c>
      <c r="EN7" s="140">
        <f t="shared" si="13"/>
        <v>35340323137.042404</v>
      </c>
      <c r="EO7" s="140">
        <f t="shared" si="13"/>
        <v>34346366975.303238</v>
      </c>
      <c r="EP7" s="140">
        <f t="shared" si="13"/>
        <v>32332613319.078823</v>
      </c>
      <c r="EQ7" s="140">
        <f t="shared" si="13"/>
        <v>35390881910.694061</v>
      </c>
      <c r="ER7" s="140">
        <f t="shared" si="13"/>
        <v>51249955411.816017</v>
      </c>
      <c r="ES7" s="140">
        <f t="shared" si="13"/>
        <v>56403600039.682037</v>
      </c>
      <c r="ET7" s="140">
        <f t="shared" si="13"/>
        <v>55683306499.443253</v>
      </c>
      <c r="EU7" s="140">
        <f t="shared" si="13"/>
        <v>54767745229.883774</v>
      </c>
      <c r="EV7" s="140">
        <f t="shared" si="13"/>
        <v>44872676498.837822</v>
      </c>
      <c r="EW7" s="140">
        <f t="shared" si="13"/>
        <v>23498166909.837822</v>
      </c>
      <c r="EX7" s="140">
        <f t="shared" si="13"/>
        <v>22720073758.837822</v>
      </c>
      <c r="EY7" s="140">
        <f t="shared" si="13"/>
        <v>22342297156.471367</v>
      </c>
      <c r="EZ7" s="140">
        <f t="shared" si="13"/>
        <v>19007978883.509003</v>
      </c>
      <c r="FA7" s="140">
        <f t="shared" si="13"/>
        <v>16862312336.509003</v>
      </c>
      <c r="FB7" s="140">
        <f t="shared" si="13"/>
        <v>17135185593.200645</v>
      </c>
      <c r="FC7" s="140">
        <f t="shared" si="13"/>
        <v>17029018121.200645</v>
      </c>
      <c r="FD7" s="140">
        <f t="shared" si="13"/>
        <v>17462118096.151764</v>
      </c>
      <c r="FE7" s="140">
        <f t="shared" si="13"/>
        <v>17181418096.151764</v>
      </c>
      <c r="FF7" s="140">
        <f t="shared" si="13"/>
        <v>13531071469.784184</v>
      </c>
      <c r="FG7" s="140">
        <f t="shared" si="13"/>
        <v>6857871469.7841835</v>
      </c>
      <c r="FH7" s="140">
        <f t="shared" si="13"/>
        <v>6888689857.7220163</v>
      </c>
      <c r="FI7" s="140">
        <f t="shared" si="13"/>
        <v>6976517600.0381832</v>
      </c>
      <c r="FJ7" s="140">
        <f t="shared" si="13"/>
        <v>73.043002128601074</v>
      </c>
      <c r="FK7" s="140">
        <f t="shared" si="13"/>
        <v>1.5015902248310751E-3</v>
      </c>
      <c r="FL7" s="140">
        <f t="shared" si="13"/>
        <v>1.5015902248310751E-3</v>
      </c>
      <c r="FM7" s="140">
        <f t="shared" si="13"/>
        <v>1.5015902248310751E-3</v>
      </c>
      <c r="FN7" s="140">
        <f t="shared" si="13"/>
        <v>1.5015902248310751E-3</v>
      </c>
      <c r="FO7" s="140">
        <f t="shared" si="13"/>
        <v>1.5015902248310751E-3</v>
      </c>
      <c r="FP7" s="140">
        <f t="shared" si="13"/>
        <v>1.5015902248310751E-3</v>
      </c>
      <c r="FQ7" s="140">
        <f t="shared" si="13"/>
        <v>1.5015902248310751E-3</v>
      </c>
      <c r="FR7" s="140">
        <f t="shared" si="13"/>
        <v>1.5015902248310751E-3</v>
      </c>
      <c r="FS7" s="140">
        <f t="shared" si="13"/>
        <v>1.5015902248310751E-3</v>
      </c>
      <c r="FT7" s="140">
        <f t="shared" si="13"/>
        <v>1.5015902248310751E-3</v>
      </c>
      <c r="FU7" s="141">
        <f t="shared" si="13"/>
        <v>1.5015902248310751E-3</v>
      </c>
      <c r="FW7" s="134">
        <f t="shared" si="24"/>
        <v>5</v>
      </c>
      <c r="FX7" s="166">
        <v>29</v>
      </c>
      <c r="FY7" s="124">
        <f>HLOOKUP(FX7,$AO$2:CG7,FW7+1,0)</f>
        <v>45272</v>
      </c>
      <c r="FZ7" s="140">
        <f>HLOOKUP(FX7,$ED$2:FU7,FW7+1,0)</f>
        <v>6857871469.7841835</v>
      </c>
      <c r="GA7" s="182">
        <f t="shared" si="14"/>
        <v>6893607553.1166754</v>
      </c>
      <c r="GB7" s="334">
        <f t="shared" si="15"/>
        <v>6186417539.7260275</v>
      </c>
      <c r="GC7" s="183">
        <f t="shared" si="21"/>
        <v>-707190013.39064789</v>
      </c>
      <c r="GD7" s="165">
        <f t="shared" si="16"/>
        <v>0</v>
      </c>
    </row>
    <row r="8" spans="1:186">
      <c r="A8" s="134" t="s">
        <v>83</v>
      </c>
      <c r="B8" s="121" t="s">
        <v>21</v>
      </c>
      <c r="C8" s="121" t="s">
        <v>163</v>
      </c>
      <c r="D8" s="121" t="str">
        <f>VLOOKUP(B8,'NTFS - Supporting'!B:C,2,0)</f>
        <v>Corp</v>
      </c>
      <c r="E8" s="140">
        <v>102022</v>
      </c>
      <c r="J8" s="140">
        <f>E8*O8</f>
        <v>5101100000</v>
      </c>
      <c r="K8" s="140">
        <v>5082201934.5358582</v>
      </c>
      <c r="L8" s="141">
        <f>J8-K8</f>
        <v>18898065.464141846</v>
      </c>
      <c r="M8" s="3" t="s">
        <v>21</v>
      </c>
      <c r="N8" s="3" t="s">
        <v>14</v>
      </c>
      <c r="O8" s="140">
        <v>50000</v>
      </c>
      <c r="P8" s="140">
        <f>SUMIFS('121'!E:E,'121'!B:B,'Fair value 31.12.2023'!M8)</f>
        <v>5000000000</v>
      </c>
      <c r="Q8" s="140">
        <v>100000</v>
      </c>
      <c r="R8" s="140">
        <f t="shared" si="3"/>
        <v>5000000000</v>
      </c>
      <c r="S8" s="222">
        <v>0.1</v>
      </c>
      <c r="T8" s="222"/>
      <c r="U8" s="124">
        <v>44697</v>
      </c>
      <c r="V8" s="124">
        <v>46158</v>
      </c>
      <c r="W8" s="121" t="s">
        <v>22</v>
      </c>
      <c r="X8" s="124">
        <v>44847</v>
      </c>
      <c r="Y8" s="124">
        <v>45246</v>
      </c>
      <c r="Z8" s="141">
        <f t="shared" ref="Z8:Z9" si="26">R8*S8*($Y$1-Y8+1)/365</f>
        <v>63013698.630136989</v>
      </c>
      <c r="AA8" s="226"/>
      <c r="AB8" s="121" t="s">
        <v>158</v>
      </c>
      <c r="AD8" s="151">
        <f t="shared" si="5"/>
        <v>44697</v>
      </c>
      <c r="AE8" s="124">
        <f t="shared" si="5"/>
        <v>46158</v>
      </c>
      <c r="AF8" s="128">
        <f t="shared" ref="AF8:AF29" si="27">S8</f>
        <v>0.1</v>
      </c>
      <c r="AG8" s="121" t="s">
        <v>155</v>
      </c>
      <c r="AH8" s="121" t="str">
        <f t="shared" si="6"/>
        <v>Quý</v>
      </c>
      <c r="AI8" s="121" cm="1">
        <f t="array" ref="AI8">_xlfn.IFS(AH8="Quý",3,LEFT(AH8,1)="6",6,AH8="Năm",12,AH8="Cuối kỳ",1)</f>
        <v>3</v>
      </c>
      <c r="AJ8" s="124">
        <f t="shared" ref="AJ8:AJ29" si="28">Y8</f>
        <v>45246</v>
      </c>
      <c r="AK8" s="175">
        <f>R8*S8*($Y$1-Y8+1)/365</f>
        <v>63013698.630136989</v>
      </c>
      <c r="AL8" s="152">
        <f t="shared" si="7"/>
        <v>16</v>
      </c>
      <c r="AM8" s="126">
        <f t="shared" si="8"/>
        <v>0</v>
      </c>
      <c r="AN8" s="126"/>
      <c r="AO8" s="151">
        <v>44847</v>
      </c>
      <c r="AP8" s="124">
        <v>44881</v>
      </c>
      <c r="AQ8" s="124">
        <v>44973</v>
      </c>
      <c r="AR8" s="124">
        <v>45062</v>
      </c>
      <c r="AS8" s="124">
        <v>45154</v>
      </c>
      <c r="AT8" s="124">
        <v>45246</v>
      </c>
      <c r="AU8" s="124">
        <v>45338</v>
      </c>
      <c r="AV8" s="242">
        <v>45371</v>
      </c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CG8" s="141">
        <f t="shared" ref="CG8:CG11" si="29">MAX(AO8:BM8)-AE8</f>
        <v>-787</v>
      </c>
      <c r="CI8" s="227">
        <v>-5169650000</v>
      </c>
      <c r="CJ8" s="224">
        <v>126027500</v>
      </c>
      <c r="CK8" s="224">
        <v>126027500</v>
      </c>
      <c r="CL8" s="224">
        <v>121918000</v>
      </c>
      <c r="CM8" s="224">
        <v>126027500</v>
      </c>
      <c r="CN8" s="224">
        <v>126027500</v>
      </c>
      <c r="CO8" s="224">
        <v>126027500</v>
      </c>
      <c r="CP8" s="224">
        <v>5045200000</v>
      </c>
      <c r="CQ8" s="224"/>
      <c r="CR8" s="224"/>
      <c r="CS8" s="224"/>
      <c r="CT8" s="224"/>
      <c r="CU8" s="224"/>
      <c r="CV8" s="224"/>
      <c r="CW8" s="224"/>
      <c r="CX8" s="224"/>
      <c r="DN8" s="325"/>
      <c r="DO8" s="152"/>
      <c r="EA8" s="128">
        <f t="shared" si="10"/>
        <v>-1.0660591721534718E-2</v>
      </c>
      <c r="EB8" s="247">
        <f t="shared" si="11"/>
        <v>8.9339408278465288E-2</v>
      </c>
      <c r="EC8" s="250"/>
      <c r="ED8" s="161">
        <f t="shared" si="12"/>
        <v>5169650000</v>
      </c>
      <c r="EE8" s="140">
        <f t="shared" si="13"/>
        <v>5084994660.4719429</v>
      </c>
      <c r="EF8" s="140">
        <f t="shared" si="13"/>
        <v>5069835216.6440086</v>
      </c>
      <c r="EG8" s="140">
        <f t="shared" si="13"/>
        <v>5054812536.0956135</v>
      </c>
      <c r="EH8" s="140">
        <f t="shared" si="13"/>
        <v>5038995031.8990507</v>
      </c>
      <c r="EI8" s="140">
        <f t="shared" si="13"/>
        <v>5022832658.9148369</v>
      </c>
      <c r="EJ8" s="140">
        <f t="shared" si="13"/>
        <v>5006317897.9743843</v>
      </c>
      <c r="EK8" s="140">
        <f t="shared" si="13"/>
        <v>-18.339491844177246</v>
      </c>
      <c r="EL8" s="140">
        <f t="shared" si="13"/>
        <v>-4.4039962143206191E-4</v>
      </c>
      <c r="EM8" s="140">
        <f t="shared" si="13"/>
        <v>-4.4039962143206191E-4</v>
      </c>
      <c r="EN8" s="140">
        <f t="shared" si="13"/>
        <v>-4.4039962143206191E-4</v>
      </c>
      <c r="EO8" s="140">
        <f t="shared" si="13"/>
        <v>-4.4039962143206191E-4</v>
      </c>
      <c r="EP8" s="140">
        <f t="shared" si="13"/>
        <v>-4.4039962143206191E-4</v>
      </c>
      <c r="EQ8" s="140">
        <f t="shared" si="13"/>
        <v>-4.4039962143206191E-4</v>
      </c>
      <c r="ER8" s="140">
        <f t="shared" si="13"/>
        <v>-4.4039962143206191E-4</v>
      </c>
      <c r="ES8" s="140">
        <f t="shared" si="13"/>
        <v>-4.4039962143206191E-4</v>
      </c>
      <c r="ET8" s="140">
        <f t="shared" si="13"/>
        <v>-4.4039962143206191E-4</v>
      </c>
      <c r="EU8" s="140">
        <f t="shared" si="13"/>
        <v>-4.4039962143206191E-4</v>
      </c>
      <c r="EV8" s="140">
        <f t="shared" si="13"/>
        <v>-4.4039962143206191E-4</v>
      </c>
      <c r="EW8" s="140">
        <f t="shared" si="13"/>
        <v>-4.4039962143206191E-4</v>
      </c>
      <c r="EX8" s="140">
        <f t="shared" si="13"/>
        <v>-4.4039962143206191E-4</v>
      </c>
      <c r="EY8" s="140">
        <f t="shared" si="13"/>
        <v>-4.4039962143206191E-4</v>
      </c>
      <c r="EZ8" s="140">
        <f t="shared" si="13"/>
        <v>-4.4039962143206191E-4</v>
      </c>
      <c r="FA8" s="140">
        <f t="shared" si="13"/>
        <v>-4.4039962143206191E-4</v>
      </c>
      <c r="FB8" s="140">
        <f t="shared" si="13"/>
        <v>-4.4039962143206191E-4</v>
      </c>
      <c r="FC8" s="140">
        <f t="shared" si="13"/>
        <v>-4.4039962143206191E-4</v>
      </c>
      <c r="FD8" s="140">
        <f t="shared" si="13"/>
        <v>-4.4039962143206191E-4</v>
      </c>
      <c r="FE8" s="140">
        <f t="shared" si="13"/>
        <v>-4.4039962143206191E-4</v>
      </c>
      <c r="FF8" s="140">
        <f t="shared" si="13"/>
        <v>-4.4039962143206191E-4</v>
      </c>
      <c r="FG8" s="140">
        <f t="shared" si="13"/>
        <v>-4.4039962143206191E-4</v>
      </c>
      <c r="FH8" s="140">
        <f t="shared" si="13"/>
        <v>-4.4039962143206191E-4</v>
      </c>
      <c r="FI8" s="140">
        <f t="shared" si="13"/>
        <v>-4.4039962143206191E-4</v>
      </c>
      <c r="FJ8" s="140">
        <f t="shared" si="13"/>
        <v>-4.4039962143206191E-4</v>
      </c>
      <c r="FK8" s="140">
        <f t="shared" si="13"/>
        <v>-4.4039962143206191E-4</v>
      </c>
      <c r="FL8" s="140">
        <f t="shared" si="13"/>
        <v>-4.4039962143206191E-4</v>
      </c>
      <c r="FM8" s="140">
        <f t="shared" si="13"/>
        <v>-4.4039962143206191E-4</v>
      </c>
      <c r="FN8" s="140">
        <f t="shared" si="13"/>
        <v>-4.4039962143206191E-4</v>
      </c>
      <c r="FO8" s="140">
        <f t="shared" si="13"/>
        <v>-4.4039962143206191E-4</v>
      </c>
      <c r="FP8" s="140">
        <f t="shared" si="13"/>
        <v>-4.4039962143206191E-4</v>
      </c>
      <c r="FQ8" s="140">
        <f t="shared" si="13"/>
        <v>-4.4039962143206191E-4</v>
      </c>
      <c r="FR8" s="140">
        <f t="shared" si="13"/>
        <v>-4.4039962143206191E-4</v>
      </c>
      <c r="FS8" s="140">
        <f t="shared" si="13"/>
        <v>-4.4039962143206191E-4</v>
      </c>
      <c r="FT8" s="140">
        <f t="shared" si="13"/>
        <v>-4.4039962143206191E-4</v>
      </c>
      <c r="FU8" s="141">
        <f t="shared" ref="FU8:FU12" si="30">FT8*(1+$EB8)^((CF8-CE8)/365)-DZ8</f>
        <v>-4.4039962143206191E-4</v>
      </c>
      <c r="FW8" s="134">
        <f t="shared" si="24"/>
        <v>6</v>
      </c>
      <c r="FX8" s="166">
        <v>5</v>
      </c>
      <c r="FY8" s="124">
        <f>HLOOKUP(FX8,$AO$2:CG8,FW8+1,0)</f>
        <v>45246</v>
      </c>
      <c r="FZ8" s="140">
        <f>HLOOKUP(FX8,$ED$2:FU8,FW8+1,0)</f>
        <v>5022832658.9148369</v>
      </c>
      <c r="GA8" s="182">
        <f t="shared" si="14"/>
        <v>5082201934.5358582</v>
      </c>
      <c r="GB8" s="334">
        <f t="shared" si="15"/>
        <v>5063013698.6301374</v>
      </c>
      <c r="GC8" s="183">
        <f t="shared" si="21"/>
        <v>-19188235.905720711</v>
      </c>
      <c r="GD8" s="165">
        <f t="shared" si="16"/>
        <v>0</v>
      </c>
    </row>
    <row r="9" spans="1:186">
      <c r="A9" s="134" t="s">
        <v>83</v>
      </c>
      <c r="B9" s="121" t="s">
        <v>23</v>
      </c>
      <c r="C9" s="121" t="s">
        <v>154</v>
      </c>
      <c r="D9" s="121" t="str">
        <f>VLOOKUP(B9,'NTFS - Supporting'!B:C,2,0)</f>
        <v>Corp</v>
      </c>
      <c r="G9" s="128">
        <v>4.4999999999999998E-2</v>
      </c>
      <c r="H9" s="128">
        <v>4.9000000000000002E-2</v>
      </c>
      <c r="I9" s="128">
        <f>S9-G9+H9</f>
        <v>0.109</v>
      </c>
      <c r="J9" s="140">
        <f>XNPV(I9,CU9:CY9,BA9:BE9)</f>
        <v>4096552415.4511328</v>
      </c>
      <c r="K9" s="140">
        <v>4092716509.9280615</v>
      </c>
      <c r="L9" s="141">
        <f>J9-K9</f>
        <v>3835905.5230712891</v>
      </c>
      <c r="M9" s="3" t="s">
        <v>23</v>
      </c>
      <c r="N9" s="3" t="s">
        <v>14</v>
      </c>
      <c r="O9" s="140">
        <v>40000</v>
      </c>
      <c r="P9" s="140">
        <f>SUMIFS('121'!E:E,'121'!B:B,'Fair value 31.12.2023'!M9)</f>
        <v>4000000000</v>
      </c>
      <c r="Q9" s="140">
        <v>100000</v>
      </c>
      <c r="R9" s="140">
        <f t="shared" si="3"/>
        <v>4000000000</v>
      </c>
      <c r="S9" s="222">
        <v>0.105</v>
      </c>
      <c r="T9" s="222"/>
      <c r="U9" s="124">
        <v>44477</v>
      </c>
      <c r="V9" s="124">
        <v>45573</v>
      </c>
      <c r="W9" s="121" t="s">
        <v>22</v>
      </c>
      <c r="X9" s="124">
        <v>44560</v>
      </c>
      <c r="Y9" s="124">
        <v>45207</v>
      </c>
      <c r="Z9" s="141">
        <f t="shared" si="26"/>
        <v>97808219.178082198</v>
      </c>
      <c r="AB9" s="121"/>
      <c r="AD9" s="151">
        <f t="shared" si="5"/>
        <v>44477</v>
      </c>
      <c r="AE9" s="124">
        <f t="shared" si="5"/>
        <v>45573</v>
      </c>
      <c r="AF9" s="128">
        <f t="shared" si="27"/>
        <v>0.105</v>
      </c>
      <c r="AG9" s="121" t="s">
        <v>155</v>
      </c>
      <c r="AH9" s="121" t="str">
        <f t="shared" si="6"/>
        <v>Quý</v>
      </c>
      <c r="AI9" s="121" cm="1">
        <f t="array" ref="AI9">_xlfn.IFS(AH9="Quý",3,LEFT(AH9,1)="6",6,AH9="Năm",12,AH9="Cuối kỳ",1)</f>
        <v>3</v>
      </c>
      <c r="AJ9" s="124">
        <f t="shared" si="28"/>
        <v>45207</v>
      </c>
      <c r="AK9" s="175">
        <f>R9*S9*($Y$1-Y9+1)/365</f>
        <v>97808219.178082198</v>
      </c>
      <c r="AL9" s="152">
        <f t="shared" si="7"/>
        <v>12</v>
      </c>
      <c r="AM9" s="126">
        <f t="shared" si="8"/>
        <v>0</v>
      </c>
      <c r="AN9" s="126"/>
      <c r="AO9" s="151">
        <v>44560</v>
      </c>
      <c r="AP9" s="124">
        <v>44561</v>
      </c>
      <c r="AQ9" s="124">
        <v>44565</v>
      </c>
      <c r="AR9" s="124">
        <v>44572</v>
      </c>
      <c r="AS9" s="124">
        <v>44659</v>
      </c>
      <c r="AT9" s="124">
        <v>44750</v>
      </c>
      <c r="AU9" s="124">
        <v>44845</v>
      </c>
      <c r="AV9" s="124">
        <v>44936</v>
      </c>
      <c r="AW9" s="124">
        <v>45024</v>
      </c>
      <c r="AX9" s="124">
        <v>45024</v>
      </c>
      <c r="AY9" s="124">
        <v>45115</v>
      </c>
      <c r="AZ9" s="124">
        <v>45209</v>
      </c>
      <c r="BA9" s="138">
        <v>45291</v>
      </c>
      <c r="BB9" s="124">
        <v>45299</v>
      </c>
      <c r="BC9" s="124">
        <v>45391</v>
      </c>
      <c r="BD9" s="124">
        <v>45481</v>
      </c>
      <c r="BE9" s="124">
        <v>45573</v>
      </c>
      <c r="BF9" s="124"/>
      <c r="BG9" s="124"/>
      <c r="BH9" s="124"/>
      <c r="BI9" s="124"/>
      <c r="BJ9" s="124"/>
      <c r="BK9" s="124"/>
      <c r="BL9" s="124"/>
      <c r="BM9" s="124"/>
      <c r="CG9" s="141">
        <f t="shared" si="29"/>
        <v>0</v>
      </c>
      <c r="CI9" s="223">
        <v>-4057520000</v>
      </c>
      <c r="CJ9" s="129">
        <v>-4058680000</v>
      </c>
      <c r="CK9" s="129">
        <v>-2031640000</v>
      </c>
      <c r="CL9" s="129">
        <v>169726027</v>
      </c>
      <c r="CM9" s="5">
        <v>258904110</v>
      </c>
      <c r="CN9" s="5">
        <v>261780822</v>
      </c>
      <c r="CO9" s="5">
        <v>264657534</v>
      </c>
      <c r="CP9" s="5">
        <v>264657534</v>
      </c>
      <c r="CQ9" s="5">
        <v>258904110</v>
      </c>
      <c r="CR9" s="228">
        <v>3000000000</v>
      </c>
      <c r="CS9" s="5">
        <v>3183246575</v>
      </c>
      <c r="CT9" s="228">
        <v>105863014</v>
      </c>
      <c r="CU9" s="5">
        <v>0</v>
      </c>
      <c r="CV9" s="5">
        <v>105863014</v>
      </c>
      <c r="CW9" s="224">
        <v>104712329</v>
      </c>
      <c r="CX9" s="224">
        <v>105000000</v>
      </c>
      <c r="CY9" s="224">
        <v>4105000000</v>
      </c>
      <c r="CZ9" s="140"/>
      <c r="DN9" s="325"/>
      <c r="DO9" s="152"/>
      <c r="EA9" s="128">
        <f t="shared" si="10"/>
        <v>4.1445624828338606E-3</v>
      </c>
      <c r="EB9" s="247">
        <f t="shared" si="11"/>
        <v>0.10914456248283386</v>
      </c>
      <c r="EC9" s="250"/>
      <c r="ED9" s="161">
        <f t="shared" si="12"/>
        <v>4057520000</v>
      </c>
      <c r="EE9" s="140">
        <f t="shared" ref="EE9:ET24" si="31">ED9*(1+$EB9)^((AP9-AO9)/365)-CJ9</f>
        <v>8117351710.4300499</v>
      </c>
      <c r="EF9" s="140">
        <f t="shared" si="31"/>
        <v>10158211943.308142</v>
      </c>
      <c r="EG9" s="140">
        <f t="shared" si="31"/>
        <v>10008686679.433811</v>
      </c>
      <c r="EH9" s="140">
        <f t="shared" si="31"/>
        <v>9999984111.5128613</v>
      </c>
      <c r="EI9" s="140">
        <f t="shared" si="31"/>
        <v>9999829882.6895161</v>
      </c>
      <c r="EJ9" s="140">
        <f t="shared" si="31"/>
        <v>10008450553.215055</v>
      </c>
      <c r="EK9" s="140">
        <f t="shared" si="31"/>
        <v>10005641117.373535</v>
      </c>
      <c r="EL9" s="140">
        <f t="shared" si="31"/>
        <v>9999773472.4702206</v>
      </c>
      <c r="EM9" s="140">
        <f t="shared" si="31"/>
        <v>6999773472.4702206</v>
      </c>
      <c r="EN9" s="140">
        <f t="shared" si="31"/>
        <v>3999659877.1018896</v>
      </c>
      <c r="EO9" s="140">
        <f t="shared" si="31"/>
        <v>4001934727.9811077</v>
      </c>
      <c r="EP9" s="140">
        <f t="shared" si="31"/>
        <v>4096160156.0701346</v>
      </c>
      <c r="EQ9" s="140">
        <f t="shared" si="31"/>
        <v>3999607814.1593423</v>
      </c>
      <c r="ER9" s="140">
        <f t="shared" si="31"/>
        <v>4000701002.146234</v>
      </c>
      <c r="ES9" s="140">
        <f t="shared" si="31"/>
        <v>3999205183.9723921</v>
      </c>
      <c r="ET9" s="140">
        <f t="shared" si="31"/>
        <v>49.791203022003174</v>
      </c>
      <c r="EU9" s="140">
        <f t="shared" ref="EU9:FJ12" si="32">ET9*(1+$EB9)^((BF9-BE9)/365)-CZ9</f>
        <v>1.20238233075512E-4</v>
      </c>
      <c r="EV9" s="140">
        <f t="shared" si="32"/>
        <v>1.20238233075512E-4</v>
      </c>
      <c r="EW9" s="140">
        <f t="shared" si="32"/>
        <v>1.20238233075512E-4</v>
      </c>
      <c r="EX9" s="140">
        <f t="shared" si="32"/>
        <v>1.20238233075512E-4</v>
      </c>
      <c r="EY9" s="140">
        <f t="shared" si="32"/>
        <v>1.20238233075512E-4</v>
      </c>
      <c r="EZ9" s="140">
        <f t="shared" si="32"/>
        <v>1.20238233075512E-4</v>
      </c>
      <c r="FA9" s="140">
        <f t="shared" si="32"/>
        <v>1.20238233075512E-4</v>
      </c>
      <c r="FB9" s="140">
        <f t="shared" si="32"/>
        <v>1.20238233075512E-4</v>
      </c>
      <c r="FC9" s="140">
        <f t="shared" si="32"/>
        <v>1.20238233075512E-4</v>
      </c>
      <c r="FD9" s="140">
        <f t="shared" si="32"/>
        <v>1.20238233075512E-4</v>
      </c>
      <c r="FE9" s="140">
        <f t="shared" si="32"/>
        <v>1.20238233075512E-4</v>
      </c>
      <c r="FF9" s="140">
        <f t="shared" si="32"/>
        <v>1.20238233075512E-4</v>
      </c>
      <c r="FG9" s="140">
        <f t="shared" si="32"/>
        <v>1.20238233075512E-4</v>
      </c>
      <c r="FH9" s="140">
        <f t="shared" si="32"/>
        <v>1.20238233075512E-4</v>
      </c>
      <c r="FI9" s="140">
        <f t="shared" si="32"/>
        <v>1.20238233075512E-4</v>
      </c>
      <c r="FJ9" s="140">
        <f t="shared" si="32"/>
        <v>1.20238233075512E-4</v>
      </c>
      <c r="FK9" s="140">
        <f t="shared" ref="FK9:FT12" si="33">FJ9*(1+$EB9)^((BV9-BU9)/365)-DP9</f>
        <v>1.20238233075512E-4</v>
      </c>
      <c r="FL9" s="140">
        <f t="shared" si="33"/>
        <v>1.20238233075512E-4</v>
      </c>
      <c r="FM9" s="140">
        <f t="shared" si="33"/>
        <v>1.20238233075512E-4</v>
      </c>
      <c r="FN9" s="140">
        <f t="shared" si="33"/>
        <v>1.20238233075512E-4</v>
      </c>
      <c r="FO9" s="140">
        <f t="shared" si="33"/>
        <v>1.20238233075512E-4</v>
      </c>
      <c r="FP9" s="140">
        <f t="shared" si="33"/>
        <v>1.20238233075512E-4</v>
      </c>
      <c r="FQ9" s="140">
        <f t="shared" si="33"/>
        <v>1.20238233075512E-4</v>
      </c>
      <c r="FR9" s="140">
        <f t="shared" si="33"/>
        <v>1.20238233075512E-4</v>
      </c>
      <c r="FS9" s="140">
        <f t="shared" si="33"/>
        <v>1.20238233075512E-4</v>
      </c>
      <c r="FT9" s="140">
        <f t="shared" si="33"/>
        <v>1.20238233075512E-4</v>
      </c>
      <c r="FU9" s="141">
        <f t="shared" si="30"/>
        <v>1.20238233075512E-4</v>
      </c>
      <c r="FW9" s="134">
        <f t="shared" si="24"/>
        <v>7</v>
      </c>
      <c r="FX9" s="166">
        <v>11</v>
      </c>
      <c r="FY9" s="124">
        <f>HLOOKUP(FX9,$AO$2:CG9,FW9+1,0)</f>
        <v>45209</v>
      </c>
      <c r="FZ9" s="140">
        <f>HLOOKUP(FX9,$ED$2:FU9,FW9+1,0)</f>
        <v>4001934727.9811077</v>
      </c>
      <c r="GA9" s="182">
        <f t="shared" si="14"/>
        <v>4092716509.9280615</v>
      </c>
      <c r="GB9" s="334">
        <f t="shared" si="15"/>
        <v>4097808219.178082</v>
      </c>
      <c r="GC9" s="183">
        <f t="shared" si="21"/>
        <v>5091709.250020504</v>
      </c>
      <c r="GD9" s="165">
        <f t="shared" si="16"/>
        <v>0</v>
      </c>
    </row>
    <row r="10" spans="1:186">
      <c r="A10" s="134" t="s">
        <v>83</v>
      </c>
      <c r="B10" s="121" t="s">
        <v>24</v>
      </c>
      <c r="C10" s="121" t="s">
        <v>154</v>
      </c>
      <c r="D10" s="121" t="s">
        <v>156</v>
      </c>
      <c r="G10" s="128">
        <v>4.9000000000000002E-2</v>
      </c>
      <c r="H10" s="128">
        <v>0.05</v>
      </c>
      <c r="I10" s="128">
        <f t="shared" ref="I10:I12" si="34">S10-G10+H10</f>
        <v>8.6000000000000007E-2</v>
      </c>
      <c r="J10" s="140">
        <f>XNPV(I10,CJ10:DB10,AP10:BH10)</f>
        <v>36768982534.670532</v>
      </c>
      <c r="K10" s="140">
        <v>39462733511.491959</v>
      </c>
      <c r="L10" s="141">
        <f t="shared" si="23"/>
        <v>-2693750976.8214264</v>
      </c>
      <c r="M10" s="3" t="s">
        <v>24</v>
      </c>
      <c r="N10" s="3" t="s">
        <v>14</v>
      </c>
      <c r="O10" s="135">
        <v>39</v>
      </c>
      <c r="P10" s="135">
        <f>SUMIFS('121'!E:E,'121'!B:B,'Fair value 31.12.2023'!M10)</f>
        <v>39059083362</v>
      </c>
      <c r="Q10" s="135">
        <v>1000000000</v>
      </c>
      <c r="R10" s="135">
        <f t="shared" si="3"/>
        <v>39000000000</v>
      </c>
      <c r="S10" s="136">
        <v>8.5000000000000006E-2</v>
      </c>
      <c r="T10" s="136"/>
      <c r="U10" s="124">
        <v>44294</v>
      </c>
      <c r="V10" s="124">
        <v>46851</v>
      </c>
      <c r="W10" s="121" t="s">
        <v>22</v>
      </c>
      <c r="X10" s="124">
        <v>45245</v>
      </c>
      <c r="Y10" s="124">
        <v>45245</v>
      </c>
      <c r="Z10" s="137">
        <f>SUMIFS('Mua bán - filtered'!N:N,'Mua bán - filtered'!A:A,B10)</f>
        <v>426863013.69863015</v>
      </c>
      <c r="AB10" s="121"/>
      <c r="AD10" s="151">
        <f t="shared" si="5"/>
        <v>44294</v>
      </c>
      <c r="AE10" s="124">
        <f t="shared" si="5"/>
        <v>46851</v>
      </c>
      <c r="AF10" s="128">
        <f t="shared" si="27"/>
        <v>8.5000000000000006E-2</v>
      </c>
      <c r="AG10" s="121" t="s">
        <v>162</v>
      </c>
      <c r="AH10" s="121" t="str">
        <f t="shared" si="6"/>
        <v>Quý</v>
      </c>
      <c r="AI10" s="121" cm="1">
        <f t="array" ref="AI10">_xlfn.IFS(AH10="Quý",3,LEFT(AH10,1)="6",6,AH10="Năm",12,AH10="Cuối kỳ",1)</f>
        <v>3</v>
      </c>
      <c r="AJ10" s="124">
        <f t="shared" si="28"/>
        <v>45245</v>
      </c>
      <c r="AK10" s="174">
        <f>SUMIFS('Mua bán - filtered'!N:N,'Mua bán - filtered'!A:A,'Fair value 31.12.2023'!B10)</f>
        <v>426863013.69863015</v>
      </c>
      <c r="AL10" s="152">
        <f t="shared" si="7"/>
        <v>28</v>
      </c>
      <c r="AM10" s="126">
        <f t="shared" si="8"/>
        <v>0</v>
      </c>
      <c r="AN10" s="126"/>
      <c r="AO10" s="151">
        <v>45245</v>
      </c>
      <c r="AP10" s="138">
        <v>45291</v>
      </c>
      <c r="AQ10" s="124">
        <v>45299</v>
      </c>
      <c r="AR10" s="124">
        <f>EDATE(AQ10,3)</f>
        <v>45390</v>
      </c>
      <c r="AS10" s="124">
        <f t="shared" ref="AS10" si="35">EDATE(AR10,3)</f>
        <v>45481</v>
      </c>
      <c r="AT10" s="124">
        <f t="shared" ref="AT10" si="36">EDATE(AS10,3)</f>
        <v>45573</v>
      </c>
      <c r="AU10" s="124">
        <f t="shared" ref="AU10" si="37">EDATE(AT10,3)</f>
        <v>45665</v>
      </c>
      <c r="AV10" s="124">
        <f t="shared" ref="AV10" si="38">EDATE(AU10,3)</f>
        <v>45755</v>
      </c>
      <c r="AW10" s="124">
        <f>EDATE(AV10,3)</f>
        <v>45846</v>
      </c>
      <c r="AX10" s="124">
        <f>EDATE(AW10,3)</f>
        <v>45938</v>
      </c>
      <c r="AY10" s="124">
        <f>EDATE(AX10,3)</f>
        <v>46030</v>
      </c>
      <c r="AZ10" s="124">
        <f t="shared" ref="AZ10" si="39">EDATE(AY10,3)</f>
        <v>46120</v>
      </c>
      <c r="BA10" s="124">
        <f t="shared" ref="BA10" si="40">EDATE(AZ10,3)</f>
        <v>46211</v>
      </c>
      <c r="BB10" s="124">
        <f t="shared" ref="BB10" si="41">EDATE(BA10,3)</f>
        <v>46303</v>
      </c>
      <c r="BC10" s="124">
        <f t="shared" ref="BC10" si="42">EDATE(BB10,3)</f>
        <v>46395</v>
      </c>
      <c r="BD10" s="124">
        <f t="shared" ref="BD10" si="43">EDATE(BC10,3)</f>
        <v>46485</v>
      </c>
      <c r="BE10" s="124">
        <f t="shared" ref="BE10" si="44">EDATE(BD10,3)</f>
        <v>46576</v>
      </c>
      <c r="BF10" s="124">
        <f t="shared" ref="BF10" si="45">EDATE(BE10,3)</f>
        <v>46668</v>
      </c>
      <c r="BG10" s="124">
        <f t="shared" ref="BG10" si="46">EDATE(BF10,3)</f>
        <v>46760</v>
      </c>
      <c r="BH10" s="124">
        <f>EDATE(BG10,3)</f>
        <v>46851</v>
      </c>
      <c r="BI10" s="124"/>
      <c r="BJ10" s="124"/>
      <c r="BK10" s="124"/>
      <c r="BL10" s="124"/>
      <c r="BM10" s="124"/>
      <c r="CG10" s="137">
        <f t="shared" si="29"/>
        <v>0</v>
      </c>
      <c r="CI10" s="160">
        <f>-P10</f>
        <v>-39059083362</v>
      </c>
      <c r="CJ10" s="135">
        <v>0</v>
      </c>
      <c r="CK10" s="135">
        <v>835996833</v>
      </c>
      <c r="CL10" s="135">
        <v>826479452</v>
      </c>
      <c r="CM10" s="135">
        <v>585000000</v>
      </c>
      <c r="CN10" s="135">
        <v>585000000</v>
      </c>
      <c r="CO10" s="135">
        <v>585000000</v>
      </c>
      <c r="CP10" s="135">
        <v>585000000</v>
      </c>
      <c r="CQ10" s="135">
        <v>585000000</v>
      </c>
      <c r="CR10" s="135">
        <v>585000000</v>
      </c>
      <c r="CS10" s="135">
        <v>585000000</v>
      </c>
      <c r="CT10" s="135">
        <v>585000000</v>
      </c>
      <c r="CU10" s="135">
        <v>585000000</v>
      </c>
      <c r="CV10" s="135">
        <v>585000000</v>
      </c>
      <c r="CW10" s="135">
        <v>585000000</v>
      </c>
      <c r="CX10" s="135">
        <v>585000000</v>
      </c>
      <c r="CY10" s="135">
        <v>585000000</v>
      </c>
      <c r="CZ10" s="135">
        <v>585000000</v>
      </c>
      <c r="DA10" s="135">
        <v>585000000</v>
      </c>
      <c r="DB10" s="135">
        <v>39585000000</v>
      </c>
      <c r="DN10" s="325"/>
      <c r="DO10" s="152"/>
      <c r="EA10" s="128">
        <f t="shared" si="10"/>
        <v>-1.8986052870750433E-2</v>
      </c>
      <c r="EB10" s="248">
        <f t="shared" si="11"/>
        <v>6.6013947129249573E-2</v>
      </c>
      <c r="EC10" s="250"/>
      <c r="ED10" s="160">
        <f t="shared" si="12"/>
        <v>39059083362</v>
      </c>
      <c r="EE10" s="135">
        <f t="shared" si="31"/>
        <v>39375033058.04409</v>
      </c>
      <c r="EF10" s="135">
        <f t="shared" si="31"/>
        <v>38594244305.994446</v>
      </c>
      <c r="EG10" s="135">
        <f t="shared" si="31"/>
        <v>38387800745.623489</v>
      </c>
      <c r="EH10" s="135">
        <f t="shared" si="31"/>
        <v>38419520017.913887</v>
      </c>
      <c r="EI10" s="135">
        <f t="shared" si="31"/>
        <v>38458586404.244598</v>
      </c>
      <c r="EJ10" s="135">
        <f t="shared" si="31"/>
        <v>38498287364.316292</v>
      </c>
      <c r="EK10" s="135">
        <f t="shared" si="31"/>
        <v>38524931313.171555</v>
      </c>
      <c r="EL10" s="135">
        <f t="shared" si="31"/>
        <v>38558853656.807129</v>
      </c>
      <c r="EM10" s="135">
        <f t="shared" si="31"/>
        <v>38600183305.15876</v>
      </c>
      <c r="EN10" s="135">
        <f t="shared" si="31"/>
        <v>38642184290.483971</v>
      </c>
      <c r="EO10" s="135">
        <f t="shared" si="31"/>
        <v>38671114410.755547</v>
      </c>
      <c r="EP10" s="135">
        <f t="shared" si="31"/>
        <v>38707385259.1716</v>
      </c>
      <c r="EQ10" s="135">
        <f t="shared" si="31"/>
        <v>38751127576.403542</v>
      </c>
      <c r="ER10" s="135">
        <f t="shared" si="31"/>
        <v>38795580420.727745</v>
      </c>
      <c r="ES10" s="135">
        <f t="shared" si="31"/>
        <v>38826947631.614639</v>
      </c>
      <c r="ET10" s="135">
        <f t="shared" si="31"/>
        <v>38865722018.881577</v>
      </c>
      <c r="EU10" s="135">
        <f t="shared" si="32"/>
        <v>38912036274.789726</v>
      </c>
      <c r="EV10" s="135">
        <f t="shared" si="32"/>
        <v>38959102835.003258</v>
      </c>
      <c r="EW10" s="135">
        <f t="shared" si="32"/>
        <v>361.89476776123047</v>
      </c>
      <c r="EX10" s="135">
        <f t="shared" si="32"/>
        <v>9.8848157918726129E-2</v>
      </c>
      <c r="EY10" s="135">
        <f t="shared" si="32"/>
        <v>9.8848157918726129E-2</v>
      </c>
      <c r="EZ10" s="135">
        <f t="shared" si="32"/>
        <v>9.8848157918726129E-2</v>
      </c>
      <c r="FA10" s="135">
        <f t="shared" si="32"/>
        <v>9.8848157918726129E-2</v>
      </c>
      <c r="FB10" s="135">
        <f t="shared" si="32"/>
        <v>9.8848157918726129E-2</v>
      </c>
      <c r="FC10" s="135">
        <f t="shared" si="32"/>
        <v>9.8848157918726129E-2</v>
      </c>
      <c r="FD10" s="135">
        <f t="shared" si="32"/>
        <v>9.8848157918726129E-2</v>
      </c>
      <c r="FE10" s="135">
        <f t="shared" si="32"/>
        <v>9.8848157918726129E-2</v>
      </c>
      <c r="FF10" s="135">
        <f t="shared" si="32"/>
        <v>9.8848157918726129E-2</v>
      </c>
      <c r="FG10" s="135">
        <f t="shared" si="32"/>
        <v>9.8848157918726129E-2</v>
      </c>
      <c r="FH10" s="135">
        <f t="shared" si="32"/>
        <v>9.8848157918726129E-2</v>
      </c>
      <c r="FI10" s="135">
        <f t="shared" si="32"/>
        <v>9.8848157918726129E-2</v>
      </c>
      <c r="FJ10" s="135">
        <f t="shared" si="32"/>
        <v>9.8848157918726129E-2</v>
      </c>
      <c r="FK10" s="135">
        <f t="shared" si="33"/>
        <v>9.8848157918726129E-2</v>
      </c>
      <c r="FL10" s="135">
        <f t="shared" si="33"/>
        <v>9.8848157918726129E-2</v>
      </c>
      <c r="FM10" s="135">
        <f t="shared" si="33"/>
        <v>9.8848157918726129E-2</v>
      </c>
      <c r="FN10" s="135">
        <f t="shared" si="33"/>
        <v>9.8848157918726129E-2</v>
      </c>
      <c r="FO10" s="135">
        <f t="shared" si="33"/>
        <v>9.8848157918726129E-2</v>
      </c>
      <c r="FP10" s="135">
        <f t="shared" si="33"/>
        <v>9.8848157918726129E-2</v>
      </c>
      <c r="FQ10" s="135">
        <f t="shared" si="33"/>
        <v>9.8848157918726129E-2</v>
      </c>
      <c r="FR10" s="135">
        <f t="shared" si="33"/>
        <v>9.8848157918726129E-2</v>
      </c>
      <c r="FS10" s="135">
        <f t="shared" si="33"/>
        <v>9.8848157918726129E-2</v>
      </c>
      <c r="FT10" s="135">
        <f t="shared" si="33"/>
        <v>9.8848157918726129E-2</v>
      </c>
      <c r="FU10" s="137">
        <f t="shared" si="30"/>
        <v>9.8848157918726129E-2</v>
      </c>
      <c r="FW10" s="134">
        <f t="shared" si="24"/>
        <v>8</v>
      </c>
      <c r="FX10" s="164">
        <v>0</v>
      </c>
      <c r="FY10" s="124">
        <f>HLOOKUP(FX10,$AO$2:CG10,FW10+1,0)</f>
        <v>45245</v>
      </c>
      <c r="FZ10" s="135">
        <f>HLOOKUP(FX10,$ED$2:FU10,FW10+1,0)</f>
        <v>39059083362</v>
      </c>
      <c r="GA10" s="180">
        <f t="shared" si="14"/>
        <v>39462733511.491959</v>
      </c>
      <c r="GB10" s="334">
        <f t="shared" si="15"/>
        <v>39485946375.698631</v>
      </c>
      <c r="GC10" s="181">
        <f t="shared" si="21"/>
        <v>23212864.206672668</v>
      </c>
      <c r="GD10" s="165">
        <f t="shared" si="16"/>
        <v>0</v>
      </c>
    </row>
    <row r="11" spans="1:186">
      <c r="A11" s="134" t="s">
        <v>83</v>
      </c>
      <c r="B11" s="121" t="s">
        <v>25</v>
      </c>
      <c r="C11" s="121" t="s">
        <v>154</v>
      </c>
      <c r="D11" s="121" t="s">
        <v>156</v>
      </c>
      <c r="G11" s="128">
        <v>4.9000000000000002E-2</v>
      </c>
      <c r="H11" s="128">
        <v>0.05</v>
      </c>
      <c r="I11" s="128">
        <f t="shared" si="34"/>
        <v>0.10200000000000001</v>
      </c>
      <c r="J11" s="140">
        <f>XNPV(I11,CQ11:CW11,AW11:BC11)</f>
        <v>49550258287.855789</v>
      </c>
      <c r="K11" s="140">
        <v>55582337527.955101</v>
      </c>
      <c r="L11" s="141">
        <f t="shared" si="23"/>
        <v>-6032079240.0993118</v>
      </c>
      <c r="M11" s="3" t="s">
        <v>25</v>
      </c>
      <c r="N11" s="3" t="s">
        <v>14</v>
      </c>
      <c r="O11" s="140">
        <v>5000</v>
      </c>
      <c r="P11" s="140">
        <f>SUMIFS('121'!E:E,'121'!B:B,'Fair value 31.12.2023'!M11)</f>
        <v>50000000000.255814</v>
      </c>
      <c r="Q11" s="140">
        <v>10000000</v>
      </c>
      <c r="R11" s="140">
        <f t="shared" si="3"/>
        <v>50000000000</v>
      </c>
      <c r="S11" s="222">
        <v>0.10100000000000001</v>
      </c>
      <c r="T11" s="222"/>
      <c r="U11" s="124">
        <v>44601</v>
      </c>
      <c r="V11" s="124">
        <v>47158</v>
      </c>
      <c r="W11" s="253" t="s">
        <v>17</v>
      </c>
      <c r="X11" s="124">
        <v>44601</v>
      </c>
      <c r="Y11" s="124">
        <v>44966</v>
      </c>
      <c r="Z11" s="141">
        <f t="shared" ref="Z11:Z12" si="47">R11*S11*($Y$1-Y11+1)/365</f>
        <v>4510410958.90411</v>
      </c>
      <c r="AB11" s="121"/>
      <c r="AD11" s="151">
        <f t="shared" si="5"/>
        <v>44601</v>
      </c>
      <c r="AE11" s="124">
        <f t="shared" si="5"/>
        <v>47158</v>
      </c>
      <c r="AF11" s="128">
        <f t="shared" si="27"/>
        <v>0.10100000000000001</v>
      </c>
      <c r="AG11" s="69" t="s">
        <v>164</v>
      </c>
      <c r="AH11" s="121" t="str">
        <f t="shared" si="6"/>
        <v>Năm</v>
      </c>
      <c r="AI11" s="121" cm="1">
        <f t="array" ref="AI11">_xlfn.IFS(AH11="Quý",3,LEFT(AH11,1)="6",6,AH11="Năm",12,AH11="Cuối kỳ",1)</f>
        <v>12</v>
      </c>
      <c r="AJ11" s="124">
        <f t="shared" si="28"/>
        <v>44966</v>
      </c>
      <c r="AK11" s="175">
        <f t="shared" ref="AK11:AK12" si="48">R11*S11*($Y$1-Y11+1)/365</f>
        <v>4510410958.90411</v>
      </c>
      <c r="AL11" s="152">
        <f t="shared" si="7"/>
        <v>7</v>
      </c>
      <c r="AM11" s="126">
        <f t="shared" si="8"/>
        <v>0</v>
      </c>
      <c r="AN11" s="126"/>
      <c r="AO11" s="151">
        <v>44601</v>
      </c>
      <c r="AP11" s="124">
        <v>44603</v>
      </c>
      <c r="AQ11" s="124">
        <v>44606</v>
      </c>
      <c r="AR11" s="124">
        <v>44607</v>
      </c>
      <c r="AS11" s="124">
        <v>44608</v>
      </c>
      <c r="AT11" s="124">
        <v>44610</v>
      </c>
      <c r="AU11" s="124">
        <v>44900</v>
      </c>
      <c r="AV11" s="124">
        <v>44966</v>
      </c>
      <c r="AW11" s="138">
        <v>45291</v>
      </c>
      <c r="AX11" s="124">
        <v>45337</v>
      </c>
      <c r="AY11" s="124">
        <v>45697</v>
      </c>
      <c r="AZ11" s="124">
        <v>46062</v>
      </c>
      <c r="BA11" s="124">
        <v>46427</v>
      </c>
      <c r="BB11" s="124">
        <v>46792</v>
      </c>
      <c r="BC11" s="124">
        <v>47158</v>
      </c>
      <c r="BD11" s="124"/>
      <c r="BE11" s="124"/>
      <c r="BF11" s="124"/>
      <c r="BG11" s="124"/>
      <c r="BH11" s="124"/>
      <c r="BI11" s="124"/>
      <c r="BJ11" s="124"/>
      <c r="BK11" s="124"/>
      <c r="BL11" s="124"/>
      <c r="BM11" s="124"/>
      <c r="CG11" s="141">
        <f t="shared" si="29"/>
        <v>0</v>
      </c>
      <c r="CI11" s="267">
        <v>-70000000000</v>
      </c>
      <c r="CJ11" s="268">
        <v>-16007216000</v>
      </c>
      <c r="CK11" s="268">
        <v>4805411520</v>
      </c>
      <c r="CL11" s="268">
        <v>-8010823200</v>
      </c>
      <c r="CM11" s="268">
        <v>-2003156800</v>
      </c>
      <c r="CN11" s="268">
        <v>-8817857840</v>
      </c>
      <c r="CO11" s="119">
        <v>51811810000</v>
      </c>
      <c r="CP11" s="268">
        <v>4115000000</v>
      </c>
      <c r="CQ11" s="269">
        <v>0</v>
      </c>
      <c r="CR11" s="269">
        <v>5050000000</v>
      </c>
      <c r="CS11" s="119">
        <v>3790000000.0000005</v>
      </c>
      <c r="CT11" s="119">
        <v>3790000000.0000005</v>
      </c>
      <c r="CU11" s="119">
        <v>3790000000.0000005</v>
      </c>
      <c r="CV11" s="119">
        <v>3790000000.0000005</v>
      </c>
      <c r="CW11" s="119">
        <v>53790000000</v>
      </c>
      <c r="DN11" s="325"/>
      <c r="DO11" s="152"/>
      <c r="EA11" s="128">
        <f t="shared" si="10"/>
        <v>-2.4643842339515679E-2</v>
      </c>
      <c r="EB11" s="247">
        <f t="shared" si="11"/>
        <v>7.6356157660484328E-2</v>
      </c>
      <c r="EC11" s="250"/>
      <c r="ED11" s="161">
        <f t="shared" si="12"/>
        <v>70000000000</v>
      </c>
      <c r="EE11" s="140">
        <f t="shared" si="31"/>
        <v>86035444696.327667</v>
      </c>
      <c r="EF11" s="140">
        <f t="shared" si="31"/>
        <v>81282081317.952148</v>
      </c>
      <c r="EG11" s="140">
        <f t="shared" si="31"/>
        <v>89309292060.196732</v>
      </c>
      <c r="EH11" s="140">
        <f t="shared" si="31"/>
        <v>91330454794.256729</v>
      </c>
      <c r="EI11" s="140">
        <f t="shared" si="31"/>
        <v>100185143201.02609</v>
      </c>
      <c r="EJ11" s="140">
        <f t="shared" si="31"/>
        <v>54404943140.817917</v>
      </c>
      <c r="EK11" s="140">
        <f t="shared" si="31"/>
        <v>51018645045.618866</v>
      </c>
      <c r="EL11" s="140">
        <f t="shared" si="31"/>
        <v>54473200542.030106</v>
      </c>
      <c r="EM11" s="140">
        <f t="shared" si="31"/>
        <v>49930694853.708923</v>
      </c>
      <c r="EN11" s="140">
        <f t="shared" si="31"/>
        <v>49899066905.558258</v>
      </c>
      <c r="EO11" s="140">
        <f t="shared" si="31"/>
        <v>49919167925.31012</v>
      </c>
      <c r="EP11" s="140">
        <f t="shared" si="31"/>
        <v>49940803781.69529</v>
      </c>
      <c r="EQ11" s="140">
        <f t="shared" si="31"/>
        <v>49964091668.941727</v>
      </c>
      <c r="ER11" s="140">
        <f t="shared" si="31"/>
        <v>319.00446319580078</v>
      </c>
      <c r="ES11" s="140">
        <f t="shared" si="31"/>
        <v>2.3718193049749564E-2</v>
      </c>
      <c r="ET11" s="140">
        <f t="shared" si="31"/>
        <v>2.3718193049749564E-2</v>
      </c>
      <c r="EU11" s="140">
        <f t="shared" si="32"/>
        <v>2.3718193049749564E-2</v>
      </c>
      <c r="EV11" s="140">
        <f t="shared" si="32"/>
        <v>2.3718193049749564E-2</v>
      </c>
      <c r="EW11" s="140">
        <f t="shared" si="32"/>
        <v>2.3718193049749564E-2</v>
      </c>
      <c r="EX11" s="140">
        <f t="shared" si="32"/>
        <v>2.3718193049749564E-2</v>
      </c>
      <c r="EY11" s="140">
        <f t="shared" si="32"/>
        <v>2.3718193049749564E-2</v>
      </c>
      <c r="EZ11" s="140">
        <f t="shared" si="32"/>
        <v>2.3718193049749564E-2</v>
      </c>
      <c r="FA11" s="140">
        <f t="shared" si="32"/>
        <v>2.3718193049749564E-2</v>
      </c>
      <c r="FB11" s="140">
        <f t="shared" si="32"/>
        <v>2.3718193049749564E-2</v>
      </c>
      <c r="FC11" s="140">
        <f t="shared" si="32"/>
        <v>2.3718193049749564E-2</v>
      </c>
      <c r="FD11" s="140">
        <f t="shared" si="32"/>
        <v>2.3718193049749564E-2</v>
      </c>
      <c r="FE11" s="140">
        <f t="shared" si="32"/>
        <v>2.3718193049749564E-2</v>
      </c>
      <c r="FF11" s="140">
        <f t="shared" si="32"/>
        <v>2.3718193049749564E-2</v>
      </c>
      <c r="FG11" s="140">
        <f t="shared" si="32"/>
        <v>2.3718193049749564E-2</v>
      </c>
      <c r="FH11" s="140">
        <f t="shared" si="32"/>
        <v>2.3718193049749564E-2</v>
      </c>
      <c r="FI11" s="140">
        <f t="shared" si="32"/>
        <v>2.3718193049749564E-2</v>
      </c>
      <c r="FJ11" s="140">
        <f t="shared" si="32"/>
        <v>2.3718193049749564E-2</v>
      </c>
      <c r="FK11" s="140">
        <f t="shared" si="33"/>
        <v>2.3718193049749564E-2</v>
      </c>
      <c r="FL11" s="140">
        <f t="shared" si="33"/>
        <v>2.3718193049749564E-2</v>
      </c>
      <c r="FM11" s="140">
        <f t="shared" si="33"/>
        <v>2.3718193049749564E-2</v>
      </c>
      <c r="FN11" s="140">
        <f t="shared" si="33"/>
        <v>2.3718193049749564E-2</v>
      </c>
      <c r="FO11" s="140">
        <f t="shared" si="33"/>
        <v>2.3718193049749564E-2</v>
      </c>
      <c r="FP11" s="140">
        <f t="shared" si="33"/>
        <v>2.3718193049749564E-2</v>
      </c>
      <c r="FQ11" s="140">
        <f t="shared" si="33"/>
        <v>2.3718193049749564E-2</v>
      </c>
      <c r="FR11" s="140">
        <f t="shared" si="33"/>
        <v>2.3718193049749564E-2</v>
      </c>
      <c r="FS11" s="140">
        <f t="shared" si="33"/>
        <v>2.3718193049749564E-2</v>
      </c>
      <c r="FT11" s="140">
        <f t="shared" si="33"/>
        <v>2.3718193049749564E-2</v>
      </c>
      <c r="FU11" s="141">
        <f t="shared" si="30"/>
        <v>2.3718193049749564E-2</v>
      </c>
      <c r="FW11" s="134">
        <f t="shared" si="24"/>
        <v>9</v>
      </c>
      <c r="FX11" s="166">
        <v>7</v>
      </c>
      <c r="FY11" s="124">
        <f>HLOOKUP(FX11,$AO$2:CG11,FW11+1,0)</f>
        <v>44966</v>
      </c>
      <c r="FZ11" s="140">
        <f>HLOOKUP(FX11,$ED$2:FU11,FW11+1,0)</f>
        <v>51018645045.618866</v>
      </c>
      <c r="GA11" s="182">
        <f t="shared" si="14"/>
        <v>55582337527.955101</v>
      </c>
      <c r="GB11" s="334">
        <f t="shared" si="15"/>
        <v>54510410959.159927</v>
      </c>
      <c r="GC11" s="183">
        <f t="shared" si="21"/>
        <v>-1071926568.7951736</v>
      </c>
      <c r="GD11" s="165">
        <f t="shared" si="16"/>
        <v>0</v>
      </c>
    </row>
    <row r="12" spans="1:186">
      <c r="A12" s="134" t="s">
        <v>83</v>
      </c>
      <c r="B12" s="121" t="s">
        <v>26</v>
      </c>
      <c r="C12" s="121" t="s">
        <v>154</v>
      </c>
      <c r="D12" s="121" t="s">
        <v>156</v>
      </c>
      <c r="G12" s="128">
        <v>4.9000000000000002E-2</v>
      </c>
      <c r="H12" s="128">
        <v>0.05</v>
      </c>
      <c r="I12" s="128">
        <f t="shared" si="34"/>
        <v>0.10200000000000001</v>
      </c>
      <c r="J12" s="140">
        <f>XNPV(I12,DA12:DG12,BG12:BM12)</f>
        <v>49252283502.245323</v>
      </c>
      <c r="K12" s="140">
        <v>54244038335.869743</v>
      </c>
      <c r="L12" s="141">
        <f t="shared" si="23"/>
        <v>-4991754833.6244202</v>
      </c>
      <c r="M12" s="3" t="s">
        <v>26</v>
      </c>
      <c r="N12" s="3" t="s">
        <v>14</v>
      </c>
      <c r="O12" s="140">
        <v>5000</v>
      </c>
      <c r="P12" s="140">
        <f>SUMIFS('121'!E:E,'121'!B:B,'Fair value 31.12.2023'!M12)</f>
        <v>49999999999.880341</v>
      </c>
      <c r="Q12" s="140">
        <v>10000000</v>
      </c>
      <c r="R12" s="140">
        <f t="shared" si="3"/>
        <v>50000000000</v>
      </c>
      <c r="S12" s="222">
        <v>0.10100000000000001</v>
      </c>
      <c r="T12" s="140"/>
      <c r="U12" s="124">
        <v>44610</v>
      </c>
      <c r="V12" s="124">
        <v>47167</v>
      </c>
      <c r="W12" s="121" t="s">
        <v>17</v>
      </c>
      <c r="X12" s="124">
        <v>44613</v>
      </c>
      <c r="Y12" s="124">
        <v>44975</v>
      </c>
      <c r="Z12" s="141">
        <f t="shared" si="47"/>
        <v>4385890410.9589043</v>
      </c>
      <c r="AB12" s="121"/>
      <c r="AD12" s="151">
        <f t="shared" si="5"/>
        <v>44610</v>
      </c>
      <c r="AE12" s="124">
        <f t="shared" si="5"/>
        <v>47167</v>
      </c>
      <c r="AF12" s="128">
        <f t="shared" si="27"/>
        <v>0.10100000000000001</v>
      </c>
      <c r="AG12" s="270" t="s">
        <v>164</v>
      </c>
      <c r="AH12" s="121" t="str">
        <f t="shared" si="6"/>
        <v>Năm</v>
      </c>
      <c r="AI12" s="121" cm="1">
        <f t="array" ref="AI12">_xlfn.IFS(AH12="Quý",3,LEFT(AH12,1)="6",6,AH12="Năm",12,AH12="Cuối kỳ",1)</f>
        <v>12</v>
      </c>
      <c r="AJ12" s="124">
        <f t="shared" si="28"/>
        <v>44975</v>
      </c>
      <c r="AK12" s="175">
        <f t="shared" si="48"/>
        <v>4385890410.9589043</v>
      </c>
      <c r="AL12" s="152">
        <f t="shared" si="7"/>
        <v>7</v>
      </c>
      <c r="AM12" s="126">
        <f t="shared" si="8"/>
        <v>0</v>
      </c>
      <c r="AN12" s="126"/>
      <c r="AO12" s="151">
        <v>44613</v>
      </c>
      <c r="AP12" s="124">
        <v>44614</v>
      </c>
      <c r="AQ12" s="124">
        <v>44615</v>
      </c>
      <c r="AR12" s="124">
        <v>44616</v>
      </c>
      <c r="AS12" s="124">
        <v>44617</v>
      </c>
      <c r="AT12" s="124">
        <v>44620</v>
      </c>
      <c r="AU12" s="124">
        <v>44621</v>
      </c>
      <c r="AV12" s="124">
        <v>44622</v>
      </c>
      <c r="AW12" s="124">
        <v>44623</v>
      </c>
      <c r="AX12" s="124">
        <v>44624</v>
      </c>
      <c r="AY12" s="124">
        <v>44627</v>
      </c>
      <c r="AZ12" s="124">
        <v>44628</v>
      </c>
      <c r="BA12" s="124">
        <v>44629</v>
      </c>
      <c r="BB12" s="124">
        <v>44630</v>
      </c>
      <c r="BC12" s="124">
        <v>44631</v>
      </c>
      <c r="BD12" s="124">
        <v>44634</v>
      </c>
      <c r="BE12" s="124">
        <v>44635</v>
      </c>
      <c r="BF12" s="124">
        <v>44977</v>
      </c>
      <c r="BG12" s="138">
        <v>45291</v>
      </c>
      <c r="BH12" s="124">
        <v>45341</v>
      </c>
      <c r="BI12" s="124">
        <v>45706</v>
      </c>
      <c r="BJ12" s="124">
        <v>46071</v>
      </c>
      <c r="BK12" s="124">
        <v>46436</v>
      </c>
      <c r="BL12" s="124">
        <v>46801</v>
      </c>
      <c r="BM12" s="124">
        <v>47167</v>
      </c>
      <c r="CG12" s="141">
        <f>MAX(AO12:BL12)-AE12</f>
        <v>-366</v>
      </c>
      <c r="CI12" s="267">
        <v>-7004734800</v>
      </c>
      <c r="CJ12" s="268">
        <v>7006313300</v>
      </c>
      <c r="CK12" s="268">
        <v>-3503945900</v>
      </c>
      <c r="CL12" s="268">
        <v>-3504735150</v>
      </c>
      <c r="CM12" s="268">
        <v>-8012627200</v>
      </c>
      <c r="CN12" s="268">
        <v>-1102480280</v>
      </c>
      <c r="CO12" s="268">
        <v>-10024803000</v>
      </c>
      <c r="CP12" s="268">
        <v>-12533822500</v>
      </c>
      <c r="CQ12" s="268">
        <v>10029312000</v>
      </c>
      <c r="CR12" s="268">
        <v>-8025253600</v>
      </c>
      <c r="CS12" s="268">
        <v>-1606133120</v>
      </c>
      <c r="CT12" s="268">
        <v>3212987520</v>
      </c>
      <c r="CU12" s="268">
        <v>3012852300</v>
      </c>
      <c r="CV12" s="268">
        <v>-6027057600</v>
      </c>
      <c r="CW12" s="268">
        <v>-1004735100</v>
      </c>
      <c r="CX12" s="268">
        <v>-8545997750</v>
      </c>
      <c r="CY12" s="268">
        <v>-2514092500</v>
      </c>
      <c r="CZ12" s="269">
        <v>4115000000</v>
      </c>
      <c r="DA12" s="269">
        <v>0</v>
      </c>
      <c r="DB12" s="269">
        <f>$R$12*$AF$12</f>
        <v>5050000000</v>
      </c>
      <c r="DC12" s="119">
        <f>$R$12*7.48%</f>
        <v>3740000000.0000005</v>
      </c>
      <c r="DD12" s="119">
        <f t="shared" ref="DD12:DF12" si="49">$R$12*7.48%</f>
        <v>3740000000.0000005</v>
      </c>
      <c r="DE12" s="119">
        <f t="shared" si="49"/>
        <v>3740000000.0000005</v>
      </c>
      <c r="DF12" s="119">
        <f t="shared" si="49"/>
        <v>3740000000.0000005</v>
      </c>
      <c r="DG12" s="119">
        <v>53740000000</v>
      </c>
      <c r="DN12" s="325"/>
      <c r="DO12" s="152"/>
      <c r="EA12" s="128">
        <f t="shared" si="10"/>
        <v>-2.0651404023170478E-2</v>
      </c>
      <c r="EB12" s="247">
        <f t="shared" si="11"/>
        <v>8.0348595976829529E-2</v>
      </c>
      <c r="EC12" s="250"/>
      <c r="ED12" s="161">
        <f t="shared" si="12"/>
        <v>7004734800</v>
      </c>
      <c r="EE12" s="140">
        <f t="shared" si="31"/>
        <v>-95186.079621315002</v>
      </c>
      <c r="EF12" s="140">
        <f t="shared" si="31"/>
        <v>3503850693.7638931</v>
      </c>
      <c r="EG12" s="140">
        <f t="shared" si="31"/>
        <v>7009327814.8245239</v>
      </c>
      <c r="EH12" s="140">
        <f t="shared" si="31"/>
        <v>15023439301.356003</v>
      </c>
      <c r="EI12" s="140">
        <f t="shared" si="31"/>
        <v>16135465636.938494</v>
      </c>
      <c r="EJ12" s="140">
        <f t="shared" si="31"/>
        <v>26163685463.053177</v>
      </c>
      <c r="EK12" s="140">
        <f t="shared" si="31"/>
        <v>38703048352.513138</v>
      </c>
      <c r="EL12" s="140">
        <f t="shared" si="31"/>
        <v>28681932061.847115</v>
      </c>
      <c r="EM12" s="140">
        <f t="shared" si="31"/>
        <v>36713259312.071632</v>
      </c>
      <c r="EN12" s="140">
        <f t="shared" si="31"/>
        <v>38342720433.535034</v>
      </c>
      <c r="EO12" s="140">
        <f t="shared" si="31"/>
        <v>35137852320.277496</v>
      </c>
      <c r="EP12" s="140">
        <f t="shared" si="31"/>
        <v>32132440768.138344</v>
      </c>
      <c r="EQ12" s="140">
        <f t="shared" si="31"/>
        <v>38166302693.790634</v>
      </c>
      <c r="ER12" s="140">
        <f t="shared" si="31"/>
        <v>39179119842.532166</v>
      </c>
      <c r="ES12" s="140">
        <f t="shared" si="31"/>
        <v>47750012428.407471</v>
      </c>
      <c r="ET12" s="140">
        <f t="shared" si="31"/>
        <v>50274216411.590721</v>
      </c>
      <c r="EU12" s="140">
        <f t="shared" si="32"/>
        <v>49934818000.875793</v>
      </c>
      <c r="EV12" s="140">
        <f t="shared" si="32"/>
        <v>53367594910.003334</v>
      </c>
      <c r="EW12" s="140">
        <f t="shared" si="32"/>
        <v>48885589184.388588</v>
      </c>
      <c r="EX12" s="140">
        <f t="shared" si="32"/>
        <v>49073477638.854294</v>
      </c>
      <c r="EY12" s="140">
        <f t="shared" si="32"/>
        <v>49276462666.836578</v>
      </c>
      <c r="EZ12" s="140">
        <f t="shared" si="32"/>
        <v>49495757256.821556</v>
      </c>
      <c r="FA12" s="140">
        <f t="shared" si="32"/>
        <v>49732671859.21714</v>
      </c>
      <c r="FB12" s="140">
        <f t="shared" si="32"/>
        <v>-276.569580078125</v>
      </c>
      <c r="FC12" s="140">
        <f t="shared" si="32"/>
        <v>-1.2720945583786841E-2</v>
      </c>
      <c r="FD12" s="140">
        <f t="shared" si="32"/>
        <v>-1.2720945583786841E-2</v>
      </c>
      <c r="FE12" s="140">
        <f t="shared" si="32"/>
        <v>-1.2720945583786841E-2</v>
      </c>
      <c r="FF12" s="140">
        <f t="shared" si="32"/>
        <v>-1.2720945583786841E-2</v>
      </c>
      <c r="FG12" s="140">
        <f t="shared" si="32"/>
        <v>-1.2720945583786841E-2</v>
      </c>
      <c r="FH12" s="140">
        <f t="shared" si="32"/>
        <v>-1.2720945583786841E-2</v>
      </c>
      <c r="FI12" s="140">
        <f t="shared" si="32"/>
        <v>-1.2720945583786841E-2</v>
      </c>
      <c r="FJ12" s="140">
        <f t="shared" si="32"/>
        <v>-1.2720945583786841E-2</v>
      </c>
      <c r="FK12" s="140">
        <f t="shared" si="33"/>
        <v>-1.2720945583786841E-2</v>
      </c>
      <c r="FL12" s="140">
        <f t="shared" si="33"/>
        <v>-1.2720945583786841E-2</v>
      </c>
      <c r="FM12" s="140">
        <f t="shared" si="33"/>
        <v>-1.2720945583786841E-2</v>
      </c>
      <c r="FN12" s="140">
        <f t="shared" si="33"/>
        <v>-1.2720945583786841E-2</v>
      </c>
      <c r="FO12" s="140">
        <f t="shared" si="33"/>
        <v>-1.2720945583786841E-2</v>
      </c>
      <c r="FP12" s="140">
        <f t="shared" si="33"/>
        <v>-1.2720945583786841E-2</v>
      </c>
      <c r="FQ12" s="140">
        <f t="shared" si="33"/>
        <v>-1.2720945583786841E-2</v>
      </c>
      <c r="FR12" s="140">
        <f t="shared" si="33"/>
        <v>-1.2720945583786841E-2</v>
      </c>
      <c r="FS12" s="140">
        <f t="shared" si="33"/>
        <v>-1.2720945583786841E-2</v>
      </c>
      <c r="FT12" s="140">
        <f t="shared" si="33"/>
        <v>-1.2720945583786841E-2</v>
      </c>
      <c r="FU12" s="141">
        <f t="shared" si="30"/>
        <v>-1.2720945583786841E-2</v>
      </c>
      <c r="FW12" s="134">
        <f t="shared" si="24"/>
        <v>10</v>
      </c>
      <c r="FX12" s="166">
        <v>17</v>
      </c>
      <c r="FY12" s="124">
        <f>HLOOKUP(FX12,$AO$2:CG12,FW12+1,0)</f>
        <v>44977</v>
      </c>
      <c r="FZ12" s="140">
        <f>HLOOKUP(FX12,$ED$2:FU12,FW12+1,0)</f>
        <v>49934818000.875793</v>
      </c>
      <c r="GA12" s="182">
        <f t="shared" si="14"/>
        <v>54244038335.869743</v>
      </c>
      <c r="GB12" s="334">
        <f t="shared" si="15"/>
        <v>54385890410.839249</v>
      </c>
      <c r="GC12" s="183">
        <f t="shared" si="21"/>
        <v>141852074.96950531</v>
      </c>
      <c r="GD12" s="165">
        <f t="shared" si="16"/>
        <v>0</v>
      </c>
    </row>
    <row r="13" spans="1:186" ht="13">
      <c r="A13" s="134" t="s">
        <v>83</v>
      </c>
      <c r="B13" s="121" t="s">
        <v>27</v>
      </c>
      <c r="C13" s="121" t="s">
        <v>163</v>
      </c>
      <c r="D13" s="121" t="s">
        <v>89</v>
      </c>
      <c r="E13" s="140">
        <v>108131</v>
      </c>
      <c r="F13" s="140"/>
      <c r="G13" s="140"/>
      <c r="H13" s="140"/>
      <c r="I13" s="140"/>
      <c r="J13" s="140">
        <f t="shared" ref="J13:J14" si="50">E13*O13</f>
        <v>10813100000</v>
      </c>
      <c r="K13" s="140">
        <v>10778400481.684591</v>
      </c>
      <c r="L13" s="141">
        <f t="shared" si="23"/>
        <v>34699518.315408707</v>
      </c>
      <c r="M13" s="3" t="s">
        <v>27</v>
      </c>
      <c r="N13" s="3" t="s">
        <v>92</v>
      </c>
      <c r="O13" s="140">
        <v>100000</v>
      </c>
      <c r="P13" s="140">
        <f>SUMIFS('121'!E:E,'121'!B:B,'Fair value 31.12.2023'!M13)</f>
        <v>10774200000</v>
      </c>
      <c r="Q13" s="140">
        <v>100000</v>
      </c>
      <c r="R13" s="239">
        <f>O13*Q13</f>
        <v>10000000000</v>
      </c>
      <c r="S13" s="256">
        <f>(T13-P13)/P13</f>
        <v>1.1926639564886488E-2</v>
      </c>
      <c r="T13" s="234">
        <v>10902700000</v>
      </c>
      <c r="U13" s="124">
        <v>44627</v>
      </c>
      <c r="V13" s="124">
        <v>45358</v>
      </c>
      <c r="W13" s="253" t="s">
        <v>17</v>
      </c>
      <c r="X13" s="124">
        <v>45279</v>
      </c>
      <c r="Y13" s="124">
        <v>45279</v>
      </c>
      <c r="Z13" s="141">
        <f>(T13-P13)*($Y$1-Y13+1)/(AA13-Y13)</f>
        <v>26101562.5</v>
      </c>
      <c r="AA13" s="124">
        <v>45343</v>
      </c>
      <c r="AB13" s="121"/>
      <c r="AC13" s="121"/>
      <c r="AD13" s="151">
        <f t="shared" si="5"/>
        <v>44627</v>
      </c>
      <c r="AE13" s="124">
        <f t="shared" si="5"/>
        <v>45358</v>
      </c>
      <c r="AF13" s="128">
        <f t="shared" si="27"/>
        <v>1.1926639564886488E-2</v>
      </c>
      <c r="AG13" s="121" t="s">
        <v>155</v>
      </c>
      <c r="AH13" s="121" t="str">
        <f t="shared" si="6"/>
        <v>Năm</v>
      </c>
      <c r="AI13" s="121" cm="1">
        <f t="array" ref="AI13">_xlfn.IFS(AH13="Quý",3,LEFT(AH13,1)="6",6,AH13="Năm",12,AH13="Cuối kỳ",1)</f>
        <v>12</v>
      </c>
      <c r="AJ13" s="124">
        <f t="shared" si="28"/>
        <v>45279</v>
      </c>
      <c r="AK13" s="175">
        <f>(T13-P13)*($Y$1-Y13+1)/(AA13-Y13)</f>
        <v>26101562.5</v>
      </c>
      <c r="AL13" s="152">
        <v>1</v>
      </c>
      <c r="AM13" s="126">
        <f t="shared" si="8"/>
        <v>0</v>
      </c>
      <c r="AN13" s="126"/>
      <c r="AO13" s="151">
        <v>45279</v>
      </c>
      <c r="AP13" s="124">
        <v>45343</v>
      </c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D13" s="124"/>
      <c r="BE13" s="124"/>
      <c r="BF13" s="124"/>
      <c r="BG13" s="124"/>
      <c r="BH13" s="124"/>
      <c r="BI13" s="124"/>
      <c r="BJ13" s="124"/>
      <c r="BK13" s="124"/>
      <c r="BL13" s="124"/>
      <c r="BM13" s="124"/>
      <c r="CG13" s="141">
        <f t="shared" ref="CG13:CG29" si="51">MAX(AO13:BM13)-AE13</f>
        <v>-15</v>
      </c>
      <c r="CI13" s="240">
        <v>-10774200000</v>
      </c>
      <c r="CJ13" s="140">
        <v>10902700000</v>
      </c>
      <c r="DN13" s="325"/>
      <c r="DO13" s="152"/>
      <c r="EA13" s="128">
        <f t="shared" si="10"/>
        <v>5.8028468004808015E-2</v>
      </c>
      <c r="EB13" s="247">
        <f t="shared" si="11"/>
        <v>6.9955107569694502E-2</v>
      </c>
      <c r="EC13" s="250"/>
      <c r="ED13" s="161">
        <f t="shared" si="12"/>
        <v>10774200000</v>
      </c>
      <c r="EE13" s="140">
        <f t="shared" si="31"/>
        <v>-1.949493408203125</v>
      </c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0"/>
      <c r="FL13" s="140"/>
      <c r="FM13" s="140"/>
      <c r="FN13" s="140"/>
      <c r="FO13" s="140"/>
      <c r="FP13" s="140"/>
      <c r="FQ13" s="140"/>
      <c r="FR13" s="140"/>
      <c r="FS13" s="140"/>
      <c r="FT13" s="140"/>
      <c r="FU13" s="141"/>
      <c r="FW13" s="134">
        <f t="shared" si="24"/>
        <v>11</v>
      </c>
      <c r="FX13" s="166">
        <v>0</v>
      </c>
      <c r="FY13" s="124">
        <f>HLOOKUP(FX13,$AO$2:CG13,FW13+1,0)</f>
        <v>45279</v>
      </c>
      <c r="FZ13" s="140">
        <f>HLOOKUP(FX13,$ED$2:FU13,FW13+1,0)</f>
        <v>10774200000</v>
      </c>
      <c r="GA13" s="182">
        <f t="shared" si="14"/>
        <v>10778400481.684591</v>
      </c>
      <c r="GB13" s="334">
        <f t="shared" si="15"/>
        <v>10800301562.5</v>
      </c>
      <c r="GC13" s="183">
        <f t="shared" si="21"/>
        <v>21901080.815408707</v>
      </c>
      <c r="GD13" s="165">
        <f t="shared" si="16"/>
        <v>0</v>
      </c>
    </row>
    <row r="14" spans="1:186" ht="13">
      <c r="A14" s="134" t="s">
        <v>83</v>
      </c>
      <c r="B14" s="121" t="s">
        <v>29</v>
      </c>
      <c r="C14" s="121" t="s">
        <v>163</v>
      </c>
      <c r="D14" s="121" t="s">
        <v>89</v>
      </c>
      <c r="E14" s="140">
        <v>85147</v>
      </c>
      <c r="F14" s="140"/>
      <c r="G14" s="140"/>
      <c r="J14" s="140">
        <f t="shared" si="50"/>
        <v>34016226500</v>
      </c>
      <c r="K14" s="140">
        <v>43163219608.222275</v>
      </c>
      <c r="L14" s="141">
        <f t="shared" si="23"/>
        <v>-9146993108.2222748</v>
      </c>
      <c r="M14" s="3" t="s">
        <v>29</v>
      </c>
      <c r="N14" s="3" t="s">
        <v>92</v>
      </c>
      <c r="O14" s="140">
        <v>399500</v>
      </c>
      <c r="P14" s="140">
        <f>SUMIFS('121'!E:E,'121'!B:B,'Fair value 31.12.2023'!M14)</f>
        <v>43146399500</v>
      </c>
      <c r="Q14" s="140">
        <v>100000</v>
      </c>
      <c r="R14" s="239">
        <f>O14*Q14</f>
        <v>39950000000</v>
      </c>
      <c r="S14" s="256">
        <f t="shared" ref="S14:S16" si="52">(T14-P14)/P14</f>
        <v>1.1925815501708318E-2</v>
      </c>
      <c r="T14" s="234">
        <v>43660955500</v>
      </c>
      <c r="U14" s="124">
        <v>44628</v>
      </c>
      <c r="V14" s="124">
        <v>45723</v>
      </c>
      <c r="W14" s="253" t="s">
        <v>17</v>
      </c>
      <c r="X14" s="124">
        <v>45279</v>
      </c>
      <c r="Y14" s="124">
        <v>45279</v>
      </c>
      <c r="Z14" s="141">
        <f t="shared" ref="Z14:Z16" si="53">(T14-P14)*($Y$1-Y14+1)/(AA14-Y14)</f>
        <v>104519187.5</v>
      </c>
      <c r="AA14" s="124">
        <v>45343</v>
      </c>
      <c r="AB14" s="121"/>
      <c r="AC14" s="121"/>
      <c r="AD14" s="151">
        <f t="shared" si="5"/>
        <v>44628</v>
      </c>
      <c r="AE14" s="124">
        <f t="shared" si="5"/>
        <v>45723</v>
      </c>
      <c r="AF14" s="128">
        <f t="shared" si="27"/>
        <v>1.1925815501708318E-2</v>
      </c>
      <c r="AG14" s="121" t="s">
        <v>155</v>
      </c>
      <c r="AH14" s="121" t="str">
        <f t="shared" si="6"/>
        <v>Năm</v>
      </c>
      <c r="AI14" s="121" cm="1">
        <f t="array" ref="AI14">_xlfn.IFS(AH14="Quý",3,LEFT(AH14,1)="6",6,AH14="Năm",12,AH14="Cuối kỳ",1)</f>
        <v>12</v>
      </c>
      <c r="AJ14" s="124">
        <f t="shared" si="28"/>
        <v>45279</v>
      </c>
      <c r="AK14" s="175">
        <f t="shared" ref="AK14:AK16" si="54">(T14-P14)*($Y$1-Y14+1)/(AA14-Y14)</f>
        <v>104519187.5</v>
      </c>
      <c r="AL14" s="152">
        <f>IF(AH14="Cuối kỳ",1,ROUND((AE14-AD14)/30/AI14,0))</f>
        <v>3</v>
      </c>
      <c r="AM14" s="126">
        <f t="shared" si="8"/>
        <v>0</v>
      </c>
      <c r="AN14" s="126"/>
      <c r="AO14" s="151">
        <v>45279</v>
      </c>
      <c r="AP14" s="124">
        <v>45343</v>
      </c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CG14" s="141">
        <f t="shared" si="51"/>
        <v>-380</v>
      </c>
      <c r="CI14" s="240">
        <v>-43146399500</v>
      </c>
      <c r="CJ14" s="140">
        <v>43660955500</v>
      </c>
      <c r="CK14" s="140"/>
      <c r="DN14" s="325"/>
      <c r="DO14" s="152"/>
      <c r="EA14" s="128">
        <f t="shared" si="10"/>
        <v>5.8024321040611934E-2</v>
      </c>
      <c r="EB14" s="247">
        <f t="shared" si="11"/>
        <v>6.9950136542320254E-2</v>
      </c>
      <c r="EC14" s="250"/>
      <c r="ED14" s="161">
        <f t="shared" si="12"/>
        <v>43146399500</v>
      </c>
      <c r="EE14" s="140">
        <f t="shared" si="31"/>
        <v>-20.667671203613281</v>
      </c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0"/>
      <c r="FL14" s="140"/>
      <c r="FM14" s="140"/>
      <c r="FN14" s="140"/>
      <c r="FO14" s="140"/>
      <c r="FP14" s="140"/>
      <c r="FQ14" s="140"/>
      <c r="FR14" s="140"/>
      <c r="FS14" s="140"/>
      <c r="FT14" s="140"/>
      <c r="FU14" s="141"/>
      <c r="FW14" s="134">
        <f t="shared" si="24"/>
        <v>12</v>
      </c>
      <c r="FX14" s="166">
        <v>0</v>
      </c>
      <c r="FY14" s="124">
        <f>HLOOKUP(FX14,$AO$2:CG14,FW14+1,0)</f>
        <v>45279</v>
      </c>
      <c r="FZ14" s="140">
        <f>HLOOKUP(FX14,$ED$2:FU14,FW14+1,0)</f>
        <v>43146399500</v>
      </c>
      <c r="GA14" s="182">
        <f t="shared" si="14"/>
        <v>43163219608.222275</v>
      </c>
      <c r="GB14" s="334">
        <f t="shared" si="15"/>
        <v>43250918687.5</v>
      </c>
      <c r="GC14" s="183">
        <f t="shared" si="21"/>
        <v>87699079.27772522</v>
      </c>
      <c r="GD14" s="165">
        <f t="shared" si="16"/>
        <v>0</v>
      </c>
    </row>
    <row r="15" spans="1:186">
      <c r="A15" s="134" t="s">
        <v>87</v>
      </c>
      <c r="B15" s="3" t="s">
        <v>94</v>
      </c>
      <c r="C15" s="121" t="s">
        <v>154</v>
      </c>
      <c r="D15" s="121" t="s">
        <v>89</v>
      </c>
      <c r="F15" s="222"/>
      <c r="G15" s="222">
        <v>4.5999999999999999E-2</v>
      </c>
      <c r="H15" s="128">
        <v>4.9000000000000002E-2</v>
      </c>
      <c r="I15" s="128">
        <f>9.975%-G15+H15</f>
        <v>0.10274999999999999</v>
      </c>
      <c r="J15" s="140">
        <f>XNPV(I15,CJ15:CK15,AP15:AQ15)</f>
        <v>35008533286.518654</v>
      </c>
      <c r="K15" s="140">
        <v>34980997166.352104</v>
      </c>
      <c r="L15" s="141">
        <f t="shared" si="23"/>
        <v>27536120.166549683</v>
      </c>
      <c r="M15" s="3" t="s">
        <v>94</v>
      </c>
      <c r="N15" s="3" t="s">
        <v>92</v>
      </c>
      <c r="O15" s="140">
        <v>350000</v>
      </c>
      <c r="P15" s="140">
        <v>34973750000</v>
      </c>
      <c r="Q15" s="140">
        <v>100000</v>
      </c>
      <c r="R15" s="140">
        <f t="shared" ref="R15:R29" si="55">O15*Q15</f>
        <v>35000000000</v>
      </c>
      <c r="S15" s="256">
        <f t="shared" si="52"/>
        <v>5.834375781836377E-3</v>
      </c>
      <c r="T15" s="234">
        <v>35177800000</v>
      </c>
      <c r="U15" s="124">
        <v>44266</v>
      </c>
      <c r="V15" s="124">
        <v>45362</v>
      </c>
      <c r="W15" s="253" t="s">
        <v>22</v>
      </c>
      <c r="X15" s="124">
        <v>45278</v>
      </c>
      <c r="Y15" s="124">
        <v>45278</v>
      </c>
      <c r="Z15" s="141">
        <f t="shared" si="53"/>
        <v>92151612.903225809</v>
      </c>
      <c r="AA15" s="124">
        <v>45309</v>
      </c>
      <c r="AB15" s="121"/>
      <c r="AD15" s="151">
        <f t="shared" si="5"/>
        <v>44266</v>
      </c>
      <c r="AE15" s="124">
        <f t="shared" si="5"/>
        <v>45362</v>
      </c>
      <c r="AF15" s="128">
        <f t="shared" si="27"/>
        <v>5.834375781836377E-3</v>
      </c>
      <c r="AG15" s="121" t="s">
        <v>155</v>
      </c>
      <c r="AH15" s="121" t="str">
        <f t="shared" si="6"/>
        <v>Quý</v>
      </c>
      <c r="AI15" s="121" cm="1">
        <f t="array" ref="AI15">_xlfn.IFS(AH15="Quý",3,LEFT(AH15,1)="6",6,AH15="Năm",12,AH15="Cuối kỳ",1)</f>
        <v>3</v>
      </c>
      <c r="AJ15" s="124">
        <f t="shared" si="28"/>
        <v>45278</v>
      </c>
      <c r="AK15" s="175">
        <f t="shared" si="54"/>
        <v>92151612.903225809</v>
      </c>
      <c r="AL15" s="152">
        <f>IF(AH15="Cuối kỳ",1,ROUND((AE15-AD15)/30/AI15,0))</f>
        <v>12</v>
      </c>
      <c r="AM15" s="126">
        <f t="shared" si="8"/>
        <v>0</v>
      </c>
      <c r="AN15" s="126"/>
      <c r="AO15" s="151">
        <v>45278</v>
      </c>
      <c r="AP15" s="138">
        <v>45291</v>
      </c>
      <c r="AQ15" s="124">
        <v>45309</v>
      </c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D15" s="124"/>
      <c r="BE15" s="124"/>
      <c r="BF15" s="124"/>
      <c r="BG15" s="124"/>
      <c r="BH15" s="124"/>
      <c r="BI15" s="124"/>
      <c r="BJ15" s="124"/>
      <c r="BK15" s="124"/>
      <c r="BL15" s="124"/>
      <c r="BM15" s="124"/>
      <c r="CG15" s="141">
        <f t="shared" si="51"/>
        <v>-53</v>
      </c>
      <c r="CI15" s="161">
        <v>-34973750000</v>
      </c>
      <c r="CJ15" s="140">
        <v>0</v>
      </c>
      <c r="CK15" s="140">
        <v>35177800000</v>
      </c>
      <c r="DN15" s="325"/>
      <c r="DO15" s="152"/>
      <c r="EA15" s="128">
        <f t="shared" si="10"/>
        <v>6.5061376528916498E-2</v>
      </c>
      <c r="EB15" s="247">
        <f t="shared" si="11"/>
        <v>7.0895752310752874E-2</v>
      </c>
      <c r="EC15" s="250"/>
      <c r="ED15" s="161">
        <f t="shared" si="12"/>
        <v>34973750000</v>
      </c>
      <c r="EE15" s="140">
        <f t="shared" si="31"/>
        <v>35059174857.760254</v>
      </c>
      <c r="EF15" s="140">
        <f t="shared" si="31"/>
        <v>1.8594512939453125</v>
      </c>
      <c r="EG15" s="140">
        <f t="shared" si="31"/>
        <v>3.7734539137336987E-4</v>
      </c>
      <c r="EH15" s="140">
        <f t="shared" si="31"/>
        <v>3.7734539137336987E-4</v>
      </c>
      <c r="EI15" s="140">
        <f t="shared" si="31"/>
        <v>3.7734539137336987E-4</v>
      </c>
      <c r="EJ15" s="140">
        <f t="shared" si="31"/>
        <v>3.7734539137336987E-4</v>
      </c>
      <c r="EK15" s="140">
        <f t="shared" si="31"/>
        <v>3.7734539137336987E-4</v>
      </c>
      <c r="EL15" s="140">
        <f t="shared" si="31"/>
        <v>3.7734539137336987E-4</v>
      </c>
      <c r="EM15" s="140">
        <f t="shared" si="31"/>
        <v>3.7734539137336987E-4</v>
      </c>
      <c r="EN15" s="140">
        <f t="shared" si="31"/>
        <v>3.7734539137336987E-4</v>
      </c>
      <c r="EO15" s="140">
        <f t="shared" si="31"/>
        <v>3.7734539137336987E-4</v>
      </c>
      <c r="EP15" s="140">
        <f t="shared" si="31"/>
        <v>3.7734539137336987E-4</v>
      </c>
      <c r="EQ15" s="140">
        <f t="shared" si="31"/>
        <v>3.7734539137336987E-4</v>
      </c>
      <c r="ER15" s="140">
        <f t="shared" si="31"/>
        <v>3.7734539137336987E-4</v>
      </c>
      <c r="ES15" s="140">
        <f t="shared" si="31"/>
        <v>3.7734539137336987E-4</v>
      </c>
      <c r="ET15" s="140">
        <f t="shared" si="31"/>
        <v>3.7734539137336987E-4</v>
      </c>
      <c r="EU15" s="140">
        <f t="shared" ref="EU15:FJ29" si="56">ET15*(1+$EB15)^((BF15-BE15)/365)-CZ15</f>
        <v>3.7734539137336987E-4</v>
      </c>
      <c r="EV15" s="140">
        <f t="shared" si="56"/>
        <v>3.7734539137336987E-4</v>
      </c>
      <c r="EW15" s="140">
        <f t="shared" si="56"/>
        <v>3.7734539137336987E-4</v>
      </c>
      <c r="EX15" s="140">
        <f t="shared" si="56"/>
        <v>3.7734539137336987E-4</v>
      </c>
      <c r="EY15" s="140">
        <f t="shared" si="56"/>
        <v>3.7734539137336987E-4</v>
      </c>
      <c r="EZ15" s="140">
        <f t="shared" si="56"/>
        <v>3.7734539137336987E-4</v>
      </c>
      <c r="FA15" s="140">
        <f t="shared" si="56"/>
        <v>3.7734539137336987E-4</v>
      </c>
      <c r="FB15" s="140">
        <f t="shared" si="56"/>
        <v>3.7734539137336987E-4</v>
      </c>
      <c r="FC15" s="140">
        <f t="shared" si="56"/>
        <v>3.7734539137336987E-4</v>
      </c>
      <c r="FD15" s="140">
        <f t="shared" si="56"/>
        <v>3.7734539137336987E-4</v>
      </c>
      <c r="FE15" s="140">
        <f t="shared" si="56"/>
        <v>3.7734539137336987E-4</v>
      </c>
      <c r="FF15" s="140">
        <f t="shared" si="56"/>
        <v>3.7734539137336987E-4</v>
      </c>
      <c r="FG15" s="140">
        <f t="shared" si="56"/>
        <v>3.7734539137336987E-4</v>
      </c>
      <c r="FH15" s="140">
        <f t="shared" si="56"/>
        <v>3.7734539137336987E-4</v>
      </c>
      <c r="FI15" s="140">
        <f t="shared" si="56"/>
        <v>3.7734539137336987E-4</v>
      </c>
      <c r="FJ15" s="140">
        <f t="shared" si="56"/>
        <v>3.7734539137336987E-4</v>
      </c>
      <c r="FK15" s="140">
        <f t="shared" ref="FK15:FU29" si="57">FJ15*(1+$EB15)^((BV15-BU15)/365)-DP15</f>
        <v>3.7734539137336987E-4</v>
      </c>
      <c r="FL15" s="140">
        <f t="shared" si="57"/>
        <v>3.7734539137336987E-4</v>
      </c>
      <c r="FM15" s="140">
        <f t="shared" si="57"/>
        <v>3.7734539137336987E-4</v>
      </c>
      <c r="FN15" s="140">
        <f t="shared" si="57"/>
        <v>3.7734539137336987E-4</v>
      </c>
      <c r="FO15" s="140">
        <f t="shared" si="57"/>
        <v>3.7734539137336987E-4</v>
      </c>
      <c r="FP15" s="140">
        <f t="shared" si="57"/>
        <v>3.7734539137336987E-4</v>
      </c>
      <c r="FQ15" s="140">
        <f t="shared" si="57"/>
        <v>3.7734539137336987E-4</v>
      </c>
      <c r="FR15" s="140">
        <f t="shared" si="57"/>
        <v>3.7734539137336987E-4</v>
      </c>
      <c r="FS15" s="140">
        <f t="shared" si="57"/>
        <v>3.7734539137336987E-4</v>
      </c>
      <c r="FT15" s="140">
        <f t="shared" si="57"/>
        <v>3.7734539137336987E-4</v>
      </c>
      <c r="FU15" s="141">
        <f t="shared" si="57"/>
        <v>3.7734539137336987E-4</v>
      </c>
      <c r="FW15" s="134">
        <f t="shared" si="24"/>
        <v>13</v>
      </c>
      <c r="FX15" s="166">
        <v>0</v>
      </c>
      <c r="FY15" s="124">
        <f>HLOOKUP(FX15,$AO$2:CG15,FW15+1,0)</f>
        <v>45278</v>
      </c>
      <c r="FZ15" s="140">
        <f>HLOOKUP(FX15,$ED$2:FU15,FW15+1,0)</f>
        <v>34973750000</v>
      </c>
      <c r="GA15" s="182">
        <f t="shared" si="14"/>
        <v>34980997166.352104</v>
      </c>
      <c r="GB15" s="334">
        <f t="shared" si="15"/>
        <v>35065901612.903229</v>
      </c>
      <c r="GC15" s="183">
        <f t="shared" si="21"/>
        <v>84904446.551124573</v>
      </c>
      <c r="GD15" s="165">
        <f t="shared" si="16"/>
        <v>0</v>
      </c>
    </row>
    <row r="16" spans="1:186" ht="13">
      <c r="A16" s="134" t="s">
        <v>87</v>
      </c>
      <c r="B16" s="121" t="s">
        <v>27</v>
      </c>
      <c r="C16" s="121" t="s">
        <v>163</v>
      </c>
      <c r="D16" s="121" t="s">
        <v>89</v>
      </c>
      <c r="E16" s="140">
        <v>108131</v>
      </c>
      <c r="F16" s="140"/>
      <c r="G16" s="140"/>
      <c r="H16" s="140"/>
      <c r="I16" s="140"/>
      <c r="J16" s="140">
        <f>E16*O16</f>
        <v>21626200000</v>
      </c>
      <c r="K16" s="140">
        <v>21552867983.006878</v>
      </c>
      <c r="L16" s="141">
        <f t="shared" si="23"/>
        <v>73332016.993122101</v>
      </c>
      <c r="M16" s="3" t="s">
        <v>27</v>
      </c>
      <c r="N16" s="3" t="s">
        <v>14</v>
      </c>
      <c r="O16" s="140">
        <v>200000</v>
      </c>
      <c r="P16" s="140">
        <v>21548400000</v>
      </c>
      <c r="Q16" s="140">
        <v>100000</v>
      </c>
      <c r="R16" s="140">
        <f t="shared" si="55"/>
        <v>20000000000</v>
      </c>
      <c r="S16" s="256">
        <f t="shared" si="52"/>
        <v>5.8380204562751758E-3</v>
      </c>
      <c r="T16" s="140">
        <v>21674200000</v>
      </c>
      <c r="U16" s="124">
        <v>44627</v>
      </c>
      <c r="V16" s="124">
        <v>45358</v>
      </c>
      <c r="W16" s="253" t="s">
        <v>17</v>
      </c>
      <c r="X16" s="124">
        <v>45278</v>
      </c>
      <c r="Y16" s="124">
        <v>45278</v>
      </c>
      <c r="Z16" s="141">
        <f t="shared" si="53"/>
        <v>56812903.225806452</v>
      </c>
      <c r="AA16" s="235">
        <v>45309</v>
      </c>
      <c r="AB16" s="121"/>
      <c r="AC16" s="121"/>
      <c r="AD16" s="151">
        <f t="shared" si="5"/>
        <v>44627</v>
      </c>
      <c r="AE16" s="124">
        <f t="shared" si="5"/>
        <v>45358</v>
      </c>
      <c r="AF16" s="128">
        <f t="shared" si="27"/>
        <v>5.8380204562751758E-3</v>
      </c>
      <c r="AG16" s="121" t="s">
        <v>155</v>
      </c>
      <c r="AH16" s="121" t="str">
        <f t="shared" si="6"/>
        <v>Năm</v>
      </c>
      <c r="AI16" s="121" cm="1">
        <f t="array" ref="AI16">_xlfn.IFS(AH16="Quý",3,LEFT(AH16,1)="6",6,AH16="Năm",12,AH16="Cuối kỳ",1)</f>
        <v>12</v>
      </c>
      <c r="AJ16" s="124">
        <f t="shared" si="28"/>
        <v>45278</v>
      </c>
      <c r="AK16" s="175">
        <f t="shared" si="54"/>
        <v>56812903.225806452</v>
      </c>
      <c r="AL16" s="152">
        <v>1</v>
      </c>
      <c r="AM16" s="126">
        <f t="shared" si="8"/>
        <v>0</v>
      </c>
      <c r="AN16" s="126"/>
      <c r="AO16" s="151">
        <v>45278</v>
      </c>
      <c r="AP16" s="235">
        <v>45309</v>
      </c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D16" s="124"/>
      <c r="BE16" s="124"/>
      <c r="BF16" s="124"/>
      <c r="BG16" s="124"/>
      <c r="BH16" s="124"/>
      <c r="BI16" s="124"/>
      <c r="BJ16" s="124"/>
      <c r="BK16" s="124"/>
      <c r="BL16" s="124"/>
      <c r="BM16" s="124"/>
      <c r="CG16" s="141">
        <f t="shared" si="51"/>
        <v>-49</v>
      </c>
      <c r="CI16" s="161">
        <v>-21548400000</v>
      </c>
      <c r="CJ16" s="140">
        <v>21674200000</v>
      </c>
      <c r="DN16" s="325"/>
      <c r="DO16" s="152"/>
      <c r="EA16" s="128">
        <f t="shared" si="10"/>
        <v>6.5103418814698041E-2</v>
      </c>
      <c r="EB16" s="247">
        <f t="shared" si="11"/>
        <v>7.0941439270973211E-2</v>
      </c>
      <c r="EC16" s="250"/>
      <c r="ED16" s="161">
        <f t="shared" si="12"/>
        <v>21548400000</v>
      </c>
      <c r="EE16" s="140">
        <f t="shared" si="31"/>
        <v>-3.70916748046875</v>
      </c>
      <c r="EF16" s="140">
        <f t="shared" si="31"/>
        <v>-7.4873954640192566E-4</v>
      </c>
      <c r="EG16" s="140">
        <f t="shared" si="31"/>
        <v>-7.4873954640192566E-4</v>
      </c>
      <c r="EH16" s="140">
        <f t="shared" si="31"/>
        <v>-7.4873954640192566E-4</v>
      </c>
      <c r="EI16" s="140">
        <f t="shared" si="31"/>
        <v>-7.4873954640192566E-4</v>
      </c>
      <c r="EJ16" s="140">
        <f t="shared" si="31"/>
        <v>-7.4873954640192566E-4</v>
      </c>
      <c r="EK16" s="140">
        <f t="shared" si="31"/>
        <v>-7.4873954640192566E-4</v>
      </c>
      <c r="EL16" s="140">
        <f t="shared" si="31"/>
        <v>-7.4873954640192566E-4</v>
      </c>
      <c r="EM16" s="140">
        <f t="shared" si="31"/>
        <v>-7.4873954640192566E-4</v>
      </c>
      <c r="EN16" s="140">
        <f t="shared" si="31"/>
        <v>-7.4873954640192566E-4</v>
      </c>
      <c r="EO16" s="140">
        <f t="shared" si="31"/>
        <v>-7.4873954640192566E-4</v>
      </c>
      <c r="EP16" s="140">
        <f t="shared" si="31"/>
        <v>-7.4873954640192566E-4</v>
      </c>
      <c r="EQ16" s="140">
        <f t="shared" si="31"/>
        <v>-7.4873954640192566E-4</v>
      </c>
      <c r="ER16" s="140">
        <f t="shared" si="31"/>
        <v>-7.4873954640192566E-4</v>
      </c>
      <c r="ES16" s="140">
        <f t="shared" si="31"/>
        <v>-7.4873954640192566E-4</v>
      </c>
      <c r="ET16" s="140">
        <f t="shared" si="31"/>
        <v>-7.4873954640192566E-4</v>
      </c>
      <c r="EU16" s="140">
        <f t="shared" si="56"/>
        <v>-7.4873954640192566E-4</v>
      </c>
      <c r="EV16" s="140">
        <f t="shared" si="56"/>
        <v>-7.4873954640192566E-4</v>
      </c>
      <c r="EW16" s="140">
        <f t="shared" si="56"/>
        <v>-7.4873954640192566E-4</v>
      </c>
      <c r="EX16" s="140">
        <f t="shared" si="56"/>
        <v>-7.4873954640192566E-4</v>
      </c>
      <c r="EY16" s="140">
        <f t="shared" si="56"/>
        <v>-7.4873954640192566E-4</v>
      </c>
      <c r="EZ16" s="140">
        <f t="shared" si="56"/>
        <v>-7.4873954640192566E-4</v>
      </c>
      <c r="FA16" s="140">
        <f t="shared" si="56"/>
        <v>-7.4873954640192566E-4</v>
      </c>
      <c r="FB16" s="140">
        <f t="shared" si="56"/>
        <v>-7.4873954640192566E-4</v>
      </c>
      <c r="FC16" s="140">
        <f t="shared" si="56"/>
        <v>-7.4873954640192566E-4</v>
      </c>
      <c r="FD16" s="140">
        <f t="shared" si="56"/>
        <v>-7.4873954640192566E-4</v>
      </c>
      <c r="FE16" s="140">
        <f t="shared" si="56"/>
        <v>-7.4873954640192566E-4</v>
      </c>
      <c r="FF16" s="140">
        <f t="shared" si="56"/>
        <v>-7.4873954640192566E-4</v>
      </c>
      <c r="FG16" s="140">
        <f t="shared" si="56"/>
        <v>-7.4873954640192566E-4</v>
      </c>
      <c r="FH16" s="140">
        <f t="shared" si="56"/>
        <v>-7.4873954640192566E-4</v>
      </c>
      <c r="FI16" s="140">
        <f t="shared" si="56"/>
        <v>-7.4873954640192566E-4</v>
      </c>
      <c r="FJ16" s="140">
        <f t="shared" si="56"/>
        <v>-7.4873954640192566E-4</v>
      </c>
      <c r="FK16" s="140">
        <f t="shared" si="57"/>
        <v>-7.4873954640192566E-4</v>
      </c>
      <c r="FL16" s="140">
        <f t="shared" si="57"/>
        <v>-7.4873954640192566E-4</v>
      </c>
      <c r="FM16" s="140">
        <f t="shared" si="57"/>
        <v>-7.4873954640192566E-4</v>
      </c>
      <c r="FN16" s="140">
        <f t="shared" si="57"/>
        <v>-7.4873954640192566E-4</v>
      </c>
      <c r="FO16" s="140">
        <f t="shared" si="57"/>
        <v>-7.4873954640192566E-4</v>
      </c>
      <c r="FP16" s="140">
        <f t="shared" si="57"/>
        <v>-7.4873954640192566E-4</v>
      </c>
      <c r="FQ16" s="140">
        <f t="shared" si="57"/>
        <v>-7.4873954640192566E-4</v>
      </c>
      <c r="FR16" s="140">
        <f t="shared" si="57"/>
        <v>-7.4873954640192566E-4</v>
      </c>
      <c r="FS16" s="140">
        <f t="shared" si="57"/>
        <v>-7.4873954640192566E-4</v>
      </c>
      <c r="FT16" s="140">
        <f t="shared" si="57"/>
        <v>-7.4873954640192566E-4</v>
      </c>
      <c r="FU16" s="141">
        <f t="shared" si="57"/>
        <v>-7.4873954640192566E-4</v>
      </c>
      <c r="FW16" s="134">
        <f t="shared" si="24"/>
        <v>14</v>
      </c>
      <c r="FX16" s="166">
        <v>0</v>
      </c>
      <c r="FY16" s="124">
        <f>HLOOKUP(FX16,$AO$2:CG16,FW16+1,0)</f>
        <v>45278</v>
      </c>
      <c r="FZ16" s="140">
        <f>HLOOKUP(FX16,$ED$2:FU16,FW16+1,0)</f>
        <v>21548400000</v>
      </c>
      <c r="GA16" s="182">
        <f t="shared" si="14"/>
        <v>21552867983.006878</v>
      </c>
      <c r="GB16" s="334">
        <f t="shared" si="15"/>
        <v>21605212903.225807</v>
      </c>
      <c r="GC16" s="183">
        <f t="shared" si="21"/>
        <v>52344920.218929291</v>
      </c>
      <c r="GD16" s="165">
        <f t="shared" si="16"/>
        <v>0</v>
      </c>
    </row>
    <row r="17" spans="1:186">
      <c r="A17" s="134" t="s">
        <v>87</v>
      </c>
      <c r="B17" s="121" t="s">
        <v>88</v>
      </c>
      <c r="C17" s="121" t="s">
        <v>154</v>
      </c>
      <c r="D17" s="121" t="str">
        <f>VLOOKUP(B17,'NTFS - Supporting'!B:C,2,0)</f>
        <v>Corp</v>
      </c>
      <c r="F17" s="222"/>
      <c r="G17" s="222">
        <v>0.05</v>
      </c>
      <c r="H17" s="128">
        <v>4.9000000000000002E-2</v>
      </c>
      <c r="I17" s="128">
        <f t="shared" ref="I17:I23" si="58">S17-G17+H17</f>
        <v>0.114</v>
      </c>
      <c r="J17" s="140">
        <f>XNPV(I17,CJ17:CM17,AP17:AS17)</f>
        <v>50705611225.588577</v>
      </c>
      <c r="K17" s="140">
        <v>51085123903.140053</v>
      </c>
      <c r="L17" s="141">
        <f t="shared" si="23"/>
        <v>-379512677.55147552</v>
      </c>
      <c r="M17" s="3" t="s">
        <v>90</v>
      </c>
      <c r="N17" s="3" t="s">
        <v>14</v>
      </c>
      <c r="O17" s="135">
        <v>50000</v>
      </c>
      <c r="P17" s="135">
        <v>50887450000</v>
      </c>
      <c r="Q17" s="135">
        <v>1000000</v>
      </c>
      <c r="R17" s="135">
        <f t="shared" si="55"/>
        <v>50000000000</v>
      </c>
      <c r="S17" s="139">
        <v>0.115</v>
      </c>
      <c r="T17" s="139"/>
      <c r="U17" s="124">
        <v>44071</v>
      </c>
      <c r="V17" s="124">
        <v>45519</v>
      </c>
      <c r="W17" s="253" t="s">
        <v>22</v>
      </c>
      <c r="X17" s="124">
        <v>45273</v>
      </c>
      <c r="Y17" s="124">
        <v>45273</v>
      </c>
      <c r="Z17" s="137">
        <f t="shared" ref="Z17:Z18" si="59">R17*S17*($Y$1-Y17+1)/365</f>
        <v>299315068.49315071</v>
      </c>
      <c r="AB17" s="121"/>
      <c r="AD17" s="151">
        <f t="shared" si="5"/>
        <v>44071</v>
      </c>
      <c r="AE17" s="124">
        <f t="shared" si="5"/>
        <v>45519</v>
      </c>
      <c r="AF17" s="128">
        <f t="shared" si="27"/>
        <v>0.115</v>
      </c>
      <c r="AG17" s="121" t="s">
        <v>155</v>
      </c>
      <c r="AH17" s="121" t="str">
        <f t="shared" si="6"/>
        <v>Quý</v>
      </c>
      <c r="AI17" s="121" cm="1">
        <f t="array" ref="AI17">_xlfn.IFS(AH17="Quý",3,LEFT(AH17,1)="6",6,AH17="Năm",12,AH17="Cuối kỳ",1)</f>
        <v>3</v>
      </c>
      <c r="AJ17" s="124">
        <f t="shared" si="28"/>
        <v>45273</v>
      </c>
      <c r="AK17" s="174">
        <f t="shared" ref="AK17:AK18" si="60">R17*S17*($Y$1-Y17+1)/365</f>
        <v>299315068.49315071</v>
      </c>
      <c r="AL17" s="152">
        <f t="shared" ref="AL17:AL29" si="61">IF(AH17="Cuối kỳ",1,ROUND((AE17-AD17)/30/AI17,0))</f>
        <v>16</v>
      </c>
      <c r="AM17" s="126">
        <f t="shared" si="8"/>
        <v>0</v>
      </c>
      <c r="AN17" s="126"/>
      <c r="AO17" s="151">
        <v>45278</v>
      </c>
      <c r="AP17" s="138">
        <v>45291</v>
      </c>
      <c r="AQ17" s="235">
        <v>45350</v>
      </c>
      <c r="AR17" s="235">
        <v>45440</v>
      </c>
      <c r="AS17" s="235">
        <v>45519</v>
      </c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CG17" s="137">
        <f t="shared" si="51"/>
        <v>0</v>
      </c>
      <c r="CI17" s="160">
        <v>-50887450000</v>
      </c>
      <c r="CJ17" s="317">
        <v>0</v>
      </c>
      <c r="CK17" s="234">
        <v>1437500000</v>
      </c>
      <c r="CL17" s="234">
        <v>1437500000</v>
      </c>
      <c r="CM17" s="234">
        <v>51260273973</v>
      </c>
      <c r="DN17" s="325"/>
      <c r="DO17" s="152"/>
      <c r="EA17" s="128">
        <f t="shared" si="10"/>
        <v>-1.3818391561508173E-2</v>
      </c>
      <c r="EB17" s="248">
        <f t="shared" si="11"/>
        <v>0.10118160843849183</v>
      </c>
      <c r="EC17" s="250"/>
      <c r="ED17" s="160">
        <f t="shared" si="12"/>
        <v>50887450000</v>
      </c>
      <c r="EE17" s="135">
        <f t="shared" si="31"/>
        <v>51062439034.596619</v>
      </c>
      <c r="EF17" s="135">
        <f t="shared" si="31"/>
        <v>50426713512.273422</v>
      </c>
      <c r="EG17" s="135">
        <f t="shared" si="31"/>
        <v>50202002471.510002</v>
      </c>
      <c r="EH17" s="135">
        <f t="shared" si="31"/>
        <v>-12.999198913574219</v>
      </c>
      <c r="EI17" s="135">
        <f t="shared" si="31"/>
        <v>-7.828962613551725E-5</v>
      </c>
      <c r="EJ17" s="135">
        <f t="shared" si="31"/>
        <v>-7.828962613551725E-5</v>
      </c>
      <c r="EK17" s="135">
        <f t="shared" si="31"/>
        <v>-7.828962613551725E-5</v>
      </c>
      <c r="EL17" s="135">
        <f t="shared" si="31"/>
        <v>-7.828962613551725E-5</v>
      </c>
      <c r="EM17" s="135">
        <f t="shared" si="31"/>
        <v>-7.828962613551725E-5</v>
      </c>
      <c r="EN17" s="135">
        <f t="shared" si="31"/>
        <v>-7.828962613551725E-5</v>
      </c>
      <c r="EO17" s="135">
        <f t="shared" si="31"/>
        <v>-7.828962613551725E-5</v>
      </c>
      <c r="EP17" s="135">
        <f t="shared" si="31"/>
        <v>-7.828962613551725E-5</v>
      </c>
      <c r="EQ17" s="135">
        <f t="shared" si="31"/>
        <v>-7.828962613551725E-5</v>
      </c>
      <c r="ER17" s="135">
        <f t="shared" si="31"/>
        <v>-7.828962613551725E-5</v>
      </c>
      <c r="ES17" s="135">
        <f t="shared" si="31"/>
        <v>-7.828962613551725E-5</v>
      </c>
      <c r="ET17" s="135">
        <f t="shared" si="31"/>
        <v>-7.828962613551725E-5</v>
      </c>
      <c r="EU17" s="135">
        <f t="shared" si="56"/>
        <v>-7.828962613551725E-5</v>
      </c>
      <c r="EV17" s="135">
        <f t="shared" si="56"/>
        <v>-7.828962613551725E-5</v>
      </c>
      <c r="EW17" s="135">
        <f t="shared" si="56"/>
        <v>-7.828962613551725E-5</v>
      </c>
      <c r="EX17" s="135">
        <f t="shared" si="56"/>
        <v>-7.828962613551725E-5</v>
      </c>
      <c r="EY17" s="135">
        <f t="shared" si="56"/>
        <v>-7.828962613551725E-5</v>
      </c>
      <c r="EZ17" s="135">
        <f t="shared" si="56"/>
        <v>-7.828962613551725E-5</v>
      </c>
      <c r="FA17" s="135">
        <f t="shared" si="56"/>
        <v>-7.828962613551725E-5</v>
      </c>
      <c r="FB17" s="135">
        <f t="shared" si="56"/>
        <v>-7.828962613551725E-5</v>
      </c>
      <c r="FC17" s="135">
        <f t="shared" si="56"/>
        <v>-7.828962613551725E-5</v>
      </c>
      <c r="FD17" s="135">
        <f t="shared" si="56"/>
        <v>-7.828962613551725E-5</v>
      </c>
      <c r="FE17" s="135">
        <f t="shared" si="56"/>
        <v>-7.828962613551725E-5</v>
      </c>
      <c r="FF17" s="135">
        <f t="shared" si="56"/>
        <v>-7.828962613551725E-5</v>
      </c>
      <c r="FG17" s="135">
        <f t="shared" si="56"/>
        <v>-7.828962613551725E-5</v>
      </c>
      <c r="FH17" s="135">
        <f t="shared" si="56"/>
        <v>-7.828962613551725E-5</v>
      </c>
      <c r="FI17" s="135">
        <f t="shared" si="56"/>
        <v>-7.828962613551725E-5</v>
      </c>
      <c r="FJ17" s="135">
        <f t="shared" si="56"/>
        <v>-7.828962613551725E-5</v>
      </c>
      <c r="FK17" s="135">
        <f t="shared" si="57"/>
        <v>-7.828962613551725E-5</v>
      </c>
      <c r="FL17" s="135">
        <f t="shared" si="57"/>
        <v>-7.828962613551725E-5</v>
      </c>
      <c r="FM17" s="135">
        <f t="shared" si="57"/>
        <v>-7.828962613551725E-5</v>
      </c>
      <c r="FN17" s="135">
        <f t="shared" si="57"/>
        <v>-7.828962613551725E-5</v>
      </c>
      <c r="FO17" s="135">
        <f t="shared" si="57"/>
        <v>-7.828962613551725E-5</v>
      </c>
      <c r="FP17" s="135">
        <f t="shared" si="57"/>
        <v>-7.828962613551725E-5</v>
      </c>
      <c r="FQ17" s="135">
        <f t="shared" si="57"/>
        <v>-7.828962613551725E-5</v>
      </c>
      <c r="FR17" s="135">
        <f t="shared" si="57"/>
        <v>-7.828962613551725E-5</v>
      </c>
      <c r="FS17" s="135">
        <f t="shared" si="57"/>
        <v>-7.828962613551725E-5</v>
      </c>
      <c r="FT17" s="135">
        <f t="shared" si="57"/>
        <v>-7.828962613551725E-5</v>
      </c>
      <c r="FU17" s="137">
        <f t="shared" si="57"/>
        <v>-7.828962613551725E-5</v>
      </c>
      <c r="FW17" s="134">
        <f t="shared" si="24"/>
        <v>15</v>
      </c>
      <c r="FX17" s="164">
        <v>0</v>
      </c>
      <c r="FY17" s="124">
        <f>HLOOKUP(FX17,$AO$2:CG17,FW17+1,0)</f>
        <v>45278</v>
      </c>
      <c r="FZ17" s="135">
        <f>HLOOKUP(FX17,$ED$2:FU17,FW17+1,0)</f>
        <v>50887450000</v>
      </c>
      <c r="GA17" s="180">
        <f t="shared" si="14"/>
        <v>51085123903.140053</v>
      </c>
      <c r="GB17" s="334">
        <f t="shared" si="15"/>
        <v>51186765068.493149</v>
      </c>
      <c r="GC17" s="181">
        <f t="shared" si="21"/>
        <v>101641165.35309601</v>
      </c>
      <c r="GD17" s="165">
        <f t="shared" si="16"/>
        <v>0</v>
      </c>
    </row>
    <row r="18" spans="1:186">
      <c r="A18" s="134" t="s">
        <v>83</v>
      </c>
      <c r="B18" s="121" t="s">
        <v>30</v>
      </c>
      <c r="C18" s="121" t="s">
        <v>154</v>
      </c>
      <c r="D18" s="121" t="str">
        <f>VLOOKUP(B18,'NTFS - Supporting'!B:C,2,0)</f>
        <v>CI</v>
      </c>
      <c r="G18" s="128">
        <v>7.2999999999999995E-2</v>
      </c>
      <c r="H18" s="222">
        <v>4.9000000000000002E-2</v>
      </c>
      <c r="I18" s="128">
        <f t="shared" si="58"/>
        <v>8.3500000000000005E-2</v>
      </c>
      <c r="J18" s="140">
        <f>XNPV(I18,CN18:CO18,AT18:AU18)</f>
        <v>54107116013.366333</v>
      </c>
      <c r="K18" s="140">
        <v>53074811939.776321</v>
      </c>
      <c r="L18" s="141">
        <f t="shared" si="23"/>
        <v>1032304073.5900116</v>
      </c>
      <c r="M18" s="121" t="s">
        <v>30</v>
      </c>
      <c r="N18" s="3" t="s">
        <v>31</v>
      </c>
      <c r="O18" s="121">
        <v>50</v>
      </c>
      <c r="P18" s="140">
        <v>52559423050</v>
      </c>
      <c r="Q18" s="140">
        <v>1000000000</v>
      </c>
      <c r="R18" s="140">
        <f t="shared" si="55"/>
        <v>50000000000</v>
      </c>
      <c r="S18" s="222">
        <v>0.1075</v>
      </c>
      <c r="T18" s="222"/>
      <c r="U18" s="124">
        <v>45065</v>
      </c>
      <c r="V18" s="124">
        <v>45615</v>
      </c>
      <c r="W18" s="255" t="s">
        <v>161</v>
      </c>
      <c r="X18" s="254">
        <v>45252</v>
      </c>
      <c r="Y18" s="254">
        <f t="shared" ref="Y18" si="62">MAX(X18,U18)</f>
        <v>45252</v>
      </c>
      <c r="Z18" s="141">
        <f t="shared" si="59"/>
        <v>589041095.8904109</v>
      </c>
      <c r="AB18" s="121"/>
      <c r="AD18" s="151">
        <f t="shared" si="5"/>
        <v>45065</v>
      </c>
      <c r="AE18" s="124">
        <f t="shared" si="5"/>
        <v>45615</v>
      </c>
      <c r="AF18" s="128">
        <f t="shared" si="27"/>
        <v>0.1075</v>
      </c>
      <c r="AG18" s="121" t="s">
        <v>155</v>
      </c>
      <c r="AH18" s="121" t="str">
        <f t="shared" si="6"/>
        <v>Cuối kỳ</v>
      </c>
      <c r="AI18" s="121" cm="1">
        <f t="array" ref="AI18">_xlfn.IFS(AH18="Quý",3,LEFT(AH18,1)="6",6,AH18="Năm",12,AH18="Cuối kỳ",1)</f>
        <v>1</v>
      </c>
      <c r="AJ18" s="124">
        <f t="shared" si="28"/>
        <v>45252</v>
      </c>
      <c r="AK18" s="175">
        <f t="shared" si="60"/>
        <v>589041095.8904109</v>
      </c>
      <c r="AL18" s="152">
        <f t="shared" si="61"/>
        <v>1</v>
      </c>
      <c r="AM18" s="126">
        <f t="shared" si="8"/>
        <v>0</v>
      </c>
      <c r="AN18" s="126"/>
      <c r="AO18" s="151">
        <v>45072</v>
      </c>
      <c r="AP18" s="124">
        <v>45188</v>
      </c>
      <c r="AQ18" s="124">
        <v>45189</v>
      </c>
      <c r="AR18" s="124">
        <v>45194</v>
      </c>
      <c r="AS18" s="124">
        <f>X18</f>
        <v>45252</v>
      </c>
      <c r="AT18" s="138">
        <v>45291</v>
      </c>
      <c r="AU18" s="124">
        <v>45615</v>
      </c>
      <c r="AV18" s="124"/>
      <c r="AW18" s="124"/>
      <c r="AX18" s="124"/>
      <c r="AY18" s="124"/>
      <c r="AZ18" s="124"/>
      <c r="BA18" s="124"/>
      <c r="BB18" s="124"/>
      <c r="BC18" s="124"/>
      <c r="BD18" s="124"/>
      <c r="BE18" s="124"/>
      <c r="BF18" s="124"/>
      <c r="BG18" s="124"/>
      <c r="BH18" s="124"/>
      <c r="BI18" s="124"/>
      <c r="BJ18" s="124"/>
      <c r="BK18" s="124"/>
      <c r="BL18" s="124"/>
      <c r="BM18" s="124"/>
      <c r="CG18" s="141">
        <f t="shared" si="51"/>
        <v>0</v>
      </c>
      <c r="CI18" s="161">
        <v>-50103082200</v>
      </c>
      <c r="CJ18" s="126">
        <v>15543390405</v>
      </c>
      <c r="CK18" s="126">
        <v>15547808220</v>
      </c>
      <c r="CL18" s="140">
        <v>20759863020</v>
      </c>
      <c r="CM18" s="126">
        <f>-P18</f>
        <v>-52559423050</v>
      </c>
      <c r="CN18" s="140">
        <v>0</v>
      </c>
      <c r="CO18" s="140">
        <v>58099315068.493149</v>
      </c>
      <c r="DN18" s="325"/>
      <c r="DO18" s="152"/>
      <c r="EA18" s="128">
        <f t="shared" si="10"/>
        <v>-2.0539879798887883E-4</v>
      </c>
      <c r="EB18" s="247">
        <f t="shared" si="11"/>
        <v>0.10729460120201112</v>
      </c>
      <c r="EC18" s="250"/>
      <c r="ED18" s="161">
        <f t="shared" si="12"/>
        <v>50103082200</v>
      </c>
      <c r="EE18" s="140">
        <f t="shared" si="31"/>
        <v>36209146823.725868</v>
      </c>
      <c r="EF18" s="140">
        <f t="shared" si="31"/>
        <v>20671450774.323524</v>
      </c>
      <c r="EG18" s="140">
        <f t="shared" si="31"/>
        <v>-59531418.371879578</v>
      </c>
      <c r="EH18" s="140">
        <f t="shared" si="31"/>
        <v>52498919642.895264</v>
      </c>
      <c r="EI18" s="140">
        <f t="shared" si="31"/>
        <v>53073760098.179916</v>
      </c>
      <c r="EJ18" s="140">
        <f t="shared" si="31"/>
        <v>-236.89605712890625</v>
      </c>
      <c r="EK18" s="140">
        <f t="shared" si="31"/>
        <v>-6.9642237617368273E-4</v>
      </c>
      <c r="EL18" s="140">
        <f t="shared" si="31"/>
        <v>-6.9642237617368273E-4</v>
      </c>
      <c r="EM18" s="140">
        <f t="shared" si="31"/>
        <v>-6.9642237617368273E-4</v>
      </c>
      <c r="EN18" s="140">
        <f t="shared" si="31"/>
        <v>-6.9642237617368273E-4</v>
      </c>
      <c r="EO18" s="140">
        <f t="shared" si="31"/>
        <v>-6.9642237617368273E-4</v>
      </c>
      <c r="EP18" s="140">
        <f t="shared" si="31"/>
        <v>-6.9642237617368273E-4</v>
      </c>
      <c r="EQ18" s="140">
        <f t="shared" si="31"/>
        <v>-6.9642237617368273E-4</v>
      </c>
      <c r="ER18" s="140">
        <f t="shared" si="31"/>
        <v>-6.9642237617368273E-4</v>
      </c>
      <c r="ES18" s="140">
        <f t="shared" si="31"/>
        <v>-6.9642237617368273E-4</v>
      </c>
      <c r="ET18" s="140">
        <f t="shared" si="31"/>
        <v>-6.9642237617368273E-4</v>
      </c>
      <c r="EU18" s="140">
        <f t="shared" si="56"/>
        <v>-6.9642237617368273E-4</v>
      </c>
      <c r="EV18" s="140">
        <f t="shared" si="56"/>
        <v>-6.9642237617368273E-4</v>
      </c>
      <c r="EW18" s="140">
        <f t="shared" si="56"/>
        <v>-6.9642237617368273E-4</v>
      </c>
      <c r="EX18" s="140">
        <f t="shared" si="56"/>
        <v>-6.9642237617368273E-4</v>
      </c>
      <c r="EY18" s="140">
        <f t="shared" si="56"/>
        <v>-6.9642237617368273E-4</v>
      </c>
      <c r="EZ18" s="140">
        <f t="shared" si="56"/>
        <v>-6.9642237617368273E-4</v>
      </c>
      <c r="FA18" s="140">
        <f t="shared" si="56"/>
        <v>-6.9642237617368273E-4</v>
      </c>
      <c r="FB18" s="140">
        <f t="shared" si="56"/>
        <v>-6.9642237617368273E-4</v>
      </c>
      <c r="FC18" s="140">
        <f t="shared" si="56"/>
        <v>-6.9642237617368273E-4</v>
      </c>
      <c r="FD18" s="140">
        <f t="shared" si="56"/>
        <v>-6.9642237617368273E-4</v>
      </c>
      <c r="FE18" s="140">
        <f t="shared" si="56"/>
        <v>-6.9642237617368273E-4</v>
      </c>
      <c r="FF18" s="140">
        <f t="shared" si="56"/>
        <v>-6.9642237617368273E-4</v>
      </c>
      <c r="FG18" s="140">
        <f t="shared" si="56"/>
        <v>-6.9642237617368273E-4</v>
      </c>
      <c r="FH18" s="140">
        <f t="shared" si="56"/>
        <v>-6.9642237617368273E-4</v>
      </c>
      <c r="FI18" s="140">
        <f t="shared" si="56"/>
        <v>-6.9642237617368273E-4</v>
      </c>
      <c r="FJ18" s="140">
        <f t="shared" si="56"/>
        <v>-6.9642237617368273E-4</v>
      </c>
      <c r="FK18" s="140">
        <f t="shared" si="57"/>
        <v>-6.9642237617368273E-4</v>
      </c>
      <c r="FL18" s="140">
        <f t="shared" si="57"/>
        <v>-6.9642237617368273E-4</v>
      </c>
      <c r="FM18" s="140">
        <f t="shared" si="57"/>
        <v>-6.9642237617368273E-4</v>
      </c>
      <c r="FN18" s="140">
        <f t="shared" si="57"/>
        <v>-6.9642237617368273E-4</v>
      </c>
      <c r="FO18" s="140">
        <f t="shared" si="57"/>
        <v>-6.9642237617368273E-4</v>
      </c>
      <c r="FP18" s="140">
        <f t="shared" si="57"/>
        <v>-6.9642237617368273E-4</v>
      </c>
      <c r="FQ18" s="140">
        <f t="shared" si="57"/>
        <v>-6.9642237617368273E-4</v>
      </c>
      <c r="FR18" s="140">
        <f t="shared" si="57"/>
        <v>-6.9642237617368273E-4</v>
      </c>
      <c r="FS18" s="140">
        <f t="shared" si="57"/>
        <v>-6.9642237617368273E-4</v>
      </c>
      <c r="FT18" s="140">
        <f t="shared" si="57"/>
        <v>-6.9642237617368273E-4</v>
      </c>
      <c r="FU18" s="141">
        <f t="shared" si="57"/>
        <v>-6.9642237617368273E-4</v>
      </c>
      <c r="FW18" s="134">
        <f t="shared" si="24"/>
        <v>16</v>
      </c>
      <c r="FX18" s="166">
        <v>4</v>
      </c>
      <c r="FY18" s="124">
        <f>HLOOKUP(FX18,$AO$2:CG18,FW18+1,0)</f>
        <v>45252</v>
      </c>
      <c r="FZ18" s="140">
        <f>HLOOKUP(FX18,$ED$2:FU18,FW18+1,0)</f>
        <v>52498919642.895264</v>
      </c>
      <c r="GA18" s="182">
        <f t="shared" si="14"/>
        <v>53074811939.776321</v>
      </c>
      <c r="GB18" s="334">
        <f t="shared" si="15"/>
        <v>53148464145.890411</v>
      </c>
      <c r="GC18" s="183">
        <f t="shared" si="21"/>
        <v>73652206.114089966</v>
      </c>
      <c r="GD18" s="165">
        <f t="shared" si="16"/>
        <v>0</v>
      </c>
    </row>
    <row r="19" spans="1:186">
      <c r="A19" s="134" t="s">
        <v>83</v>
      </c>
      <c r="B19" s="121" t="s">
        <v>32</v>
      </c>
      <c r="C19" s="121" t="s">
        <v>154</v>
      </c>
      <c r="D19" s="121" t="str">
        <f>VLOOKUP(B19,'NTFS - Supporting'!B:C,2,0)</f>
        <v>CI</v>
      </c>
      <c r="G19" s="128">
        <v>6.8000000000000005E-2</v>
      </c>
      <c r="H19" s="222">
        <v>4.9000000000000002E-2</v>
      </c>
      <c r="I19" s="128">
        <f t="shared" si="58"/>
        <v>8.8499999999999995E-2</v>
      </c>
      <c r="J19" s="140">
        <f>XNPV(I19,CL19:CM19,AR19:AS19)</f>
        <v>53209321620.932869</v>
      </c>
      <c r="K19" s="140">
        <v>52914811205.100159</v>
      </c>
      <c r="L19" s="141">
        <f t="shared" si="23"/>
        <v>294510415.83271027</v>
      </c>
      <c r="M19" s="121" t="s">
        <v>32</v>
      </c>
      <c r="N19" s="3" t="s">
        <v>31</v>
      </c>
      <c r="O19" s="121">
        <v>50</v>
      </c>
      <c r="P19" s="135">
        <v>51834228650</v>
      </c>
      <c r="Q19" s="135">
        <v>1000000000</v>
      </c>
      <c r="R19" s="135">
        <f t="shared" si="55"/>
        <v>50000000000</v>
      </c>
      <c r="S19" s="136">
        <v>0.1075</v>
      </c>
      <c r="T19" s="136"/>
      <c r="U19" s="124">
        <v>45086</v>
      </c>
      <c r="V19" s="124">
        <v>45635</v>
      </c>
      <c r="W19" s="69" t="s">
        <v>161</v>
      </c>
      <c r="X19" s="254">
        <v>45217</v>
      </c>
      <c r="Y19" s="254">
        <v>45217</v>
      </c>
      <c r="Z19" s="137">
        <f>SUMIFS('Mua bán - filtered'!N:N,'Mua bán - filtered'!A:A,B19)</f>
        <v>1104452054.7945206</v>
      </c>
      <c r="AB19" s="241" t="s">
        <v>158</v>
      </c>
      <c r="AD19" s="151">
        <f t="shared" si="5"/>
        <v>45086</v>
      </c>
      <c r="AE19" s="124">
        <f t="shared" si="5"/>
        <v>45635</v>
      </c>
      <c r="AF19" s="128">
        <f t="shared" si="27"/>
        <v>0.1075</v>
      </c>
      <c r="AG19" s="121" t="s">
        <v>155</v>
      </c>
      <c r="AH19" s="121" t="str">
        <f t="shared" si="6"/>
        <v>Cuối kỳ</v>
      </c>
      <c r="AI19" s="121" cm="1">
        <f t="array" ref="AI19">_xlfn.IFS(AH19="Quý",3,LEFT(AH19,1)="6",6,AH19="Năm",12,AH19="Cuối kỳ",1)</f>
        <v>1</v>
      </c>
      <c r="AJ19" s="124">
        <f t="shared" si="28"/>
        <v>45217</v>
      </c>
      <c r="AK19" s="174">
        <f>SUMIFS('Mua bán - filtered'!N:N,'Mua bán - filtered'!A:A,'Fair value 31.12.2023'!B19)</f>
        <v>1104452054.7945206</v>
      </c>
      <c r="AL19" s="152">
        <f t="shared" si="61"/>
        <v>1</v>
      </c>
      <c r="AM19" s="126">
        <f t="shared" si="8"/>
        <v>0</v>
      </c>
      <c r="AN19" s="126"/>
      <c r="AO19" s="151">
        <v>45086</v>
      </c>
      <c r="AP19" s="124">
        <v>45194</v>
      </c>
      <c r="AQ19" s="124">
        <v>45217</v>
      </c>
      <c r="AR19" s="138">
        <v>45291</v>
      </c>
      <c r="AS19" s="242">
        <v>45376</v>
      </c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L19" s="124"/>
      <c r="BM19" s="124"/>
      <c r="CG19" s="137">
        <f t="shared" si="51"/>
        <v>-259</v>
      </c>
      <c r="CH19" s="241"/>
      <c r="CI19" s="112">
        <v>-50000000000</v>
      </c>
      <c r="CJ19" s="106">
        <v>51590410950</v>
      </c>
      <c r="CK19" s="112">
        <v>-51834228650</v>
      </c>
      <c r="CL19" s="243">
        <v>0</v>
      </c>
      <c r="CM19" s="135">
        <v>54270547950</v>
      </c>
      <c r="DN19" s="325"/>
      <c r="DO19" s="152"/>
      <c r="EA19" s="128">
        <f t="shared" si="10"/>
        <v>3.872369527816763E-3</v>
      </c>
      <c r="EB19" s="248">
        <f t="shared" si="11"/>
        <v>0.11137236952781676</v>
      </c>
      <c r="EC19" s="250"/>
      <c r="ED19" s="160">
        <f t="shared" si="12"/>
        <v>50000000000</v>
      </c>
      <c r="EE19" s="135">
        <f t="shared" si="31"/>
        <v>-3512357.5763778687</v>
      </c>
      <c r="EF19" s="135">
        <f t="shared" si="31"/>
        <v>51830692843.371391</v>
      </c>
      <c r="EG19" s="135">
        <f t="shared" si="31"/>
        <v>52952269213.803123</v>
      </c>
      <c r="EH19" s="135">
        <f t="shared" si="31"/>
        <v>168.84435272216797</v>
      </c>
      <c r="EI19" s="135">
        <f t="shared" si="31"/>
        <v>3.3598675816871285E-4</v>
      </c>
      <c r="EJ19" s="135">
        <f t="shared" si="31"/>
        <v>3.3598675816871285E-4</v>
      </c>
      <c r="EK19" s="135">
        <f t="shared" si="31"/>
        <v>3.3598675816871285E-4</v>
      </c>
      <c r="EL19" s="135">
        <f t="shared" si="31"/>
        <v>3.3598675816871285E-4</v>
      </c>
      <c r="EM19" s="135">
        <f t="shared" si="31"/>
        <v>3.3598675816871285E-4</v>
      </c>
      <c r="EN19" s="135">
        <f t="shared" si="31"/>
        <v>3.3598675816871285E-4</v>
      </c>
      <c r="EO19" s="135">
        <f t="shared" si="31"/>
        <v>3.3598675816871285E-4</v>
      </c>
      <c r="EP19" s="135">
        <f t="shared" si="31"/>
        <v>3.3598675816871285E-4</v>
      </c>
      <c r="EQ19" s="135">
        <f t="shared" si="31"/>
        <v>3.3598675816871285E-4</v>
      </c>
      <c r="ER19" s="135">
        <f t="shared" si="31"/>
        <v>3.3598675816871285E-4</v>
      </c>
      <c r="ES19" s="135">
        <f t="shared" si="31"/>
        <v>3.3598675816871285E-4</v>
      </c>
      <c r="ET19" s="135">
        <f t="shared" si="31"/>
        <v>3.3598675816871285E-4</v>
      </c>
      <c r="EU19" s="135">
        <f t="shared" si="56"/>
        <v>3.3598675816871285E-4</v>
      </c>
      <c r="EV19" s="135">
        <f t="shared" si="56"/>
        <v>3.3598675816871285E-4</v>
      </c>
      <c r="EW19" s="135">
        <f t="shared" si="56"/>
        <v>3.3598675816871285E-4</v>
      </c>
      <c r="EX19" s="135">
        <f t="shared" si="56"/>
        <v>3.3598675816871285E-4</v>
      </c>
      <c r="EY19" s="135">
        <f t="shared" si="56"/>
        <v>3.3598675816871285E-4</v>
      </c>
      <c r="EZ19" s="135">
        <f t="shared" si="56"/>
        <v>3.3598675816871285E-4</v>
      </c>
      <c r="FA19" s="135">
        <f t="shared" si="56"/>
        <v>3.3598675816871285E-4</v>
      </c>
      <c r="FB19" s="135">
        <f t="shared" si="56"/>
        <v>3.3598675816871285E-4</v>
      </c>
      <c r="FC19" s="135">
        <f t="shared" si="56"/>
        <v>3.3598675816871285E-4</v>
      </c>
      <c r="FD19" s="135">
        <f t="shared" si="56"/>
        <v>3.3598675816871285E-4</v>
      </c>
      <c r="FE19" s="135">
        <f t="shared" si="56"/>
        <v>3.3598675816871285E-4</v>
      </c>
      <c r="FF19" s="135">
        <f t="shared" si="56"/>
        <v>3.3598675816871285E-4</v>
      </c>
      <c r="FG19" s="135">
        <f t="shared" si="56"/>
        <v>3.3598675816871285E-4</v>
      </c>
      <c r="FH19" s="135">
        <f t="shared" si="56"/>
        <v>3.3598675816871285E-4</v>
      </c>
      <c r="FI19" s="135">
        <f t="shared" si="56"/>
        <v>3.3598675816871285E-4</v>
      </c>
      <c r="FJ19" s="135">
        <f t="shared" si="56"/>
        <v>3.3598675816871285E-4</v>
      </c>
      <c r="FK19" s="135">
        <f t="shared" si="57"/>
        <v>3.3598675816871285E-4</v>
      </c>
      <c r="FL19" s="135">
        <f t="shared" si="57"/>
        <v>3.3598675816871285E-4</v>
      </c>
      <c r="FM19" s="135">
        <f t="shared" si="57"/>
        <v>3.3598675816871285E-4</v>
      </c>
      <c r="FN19" s="135">
        <f t="shared" si="57"/>
        <v>3.3598675816871285E-4</v>
      </c>
      <c r="FO19" s="135">
        <f t="shared" si="57"/>
        <v>3.3598675816871285E-4</v>
      </c>
      <c r="FP19" s="135">
        <f t="shared" si="57"/>
        <v>3.3598675816871285E-4</v>
      </c>
      <c r="FQ19" s="135">
        <f t="shared" si="57"/>
        <v>3.3598675816871285E-4</v>
      </c>
      <c r="FR19" s="135">
        <f t="shared" si="57"/>
        <v>3.3598675816871285E-4</v>
      </c>
      <c r="FS19" s="135">
        <f t="shared" si="57"/>
        <v>3.3598675816871285E-4</v>
      </c>
      <c r="FT19" s="135">
        <f t="shared" si="57"/>
        <v>3.3598675816871285E-4</v>
      </c>
      <c r="FU19" s="137">
        <f t="shared" si="57"/>
        <v>3.3598675816871285E-4</v>
      </c>
      <c r="FW19" s="134">
        <f t="shared" si="24"/>
        <v>17</v>
      </c>
      <c r="FX19" s="164">
        <v>2</v>
      </c>
      <c r="FY19" s="124">
        <f>HLOOKUP(FX19,$AO$2:CG19,FW19+1,0)</f>
        <v>45217</v>
      </c>
      <c r="FZ19" s="135">
        <f>HLOOKUP(FX19,$ED$2:FU19,FW19+1,0)</f>
        <v>51830692843.371391</v>
      </c>
      <c r="GA19" s="180">
        <f t="shared" si="14"/>
        <v>52914811205.100159</v>
      </c>
      <c r="GB19" s="334">
        <f t="shared" si="15"/>
        <v>52938680704.794518</v>
      </c>
      <c r="GC19" s="181">
        <f t="shared" si="21"/>
        <v>23869499.694358826</v>
      </c>
      <c r="GD19" s="165">
        <f t="shared" si="16"/>
        <v>0</v>
      </c>
    </row>
    <row r="20" spans="1:186">
      <c r="A20" s="134" t="s">
        <v>83</v>
      </c>
      <c r="B20" s="121" t="s">
        <v>33</v>
      </c>
      <c r="C20" s="121" t="s">
        <v>154</v>
      </c>
      <c r="D20" s="121" t="str">
        <f>VLOOKUP(B20,'NTFS - Supporting'!B:C,2,0)</f>
        <v>CI</v>
      </c>
      <c r="G20" s="128">
        <v>6.8000000000000005E-2</v>
      </c>
      <c r="H20" s="222">
        <v>4.9000000000000002E-2</v>
      </c>
      <c r="I20" s="128">
        <f t="shared" si="58"/>
        <v>8.8499999999999995E-2</v>
      </c>
      <c r="J20" s="140">
        <f>XNPV(I20,CM20:CN20,AS20:AT20)</f>
        <v>53535897164.522873</v>
      </c>
      <c r="K20" s="140">
        <v>52450429991.380066</v>
      </c>
      <c r="L20" s="141">
        <f t="shared" si="23"/>
        <v>1085467173.142807</v>
      </c>
      <c r="M20" s="121" t="s">
        <v>33</v>
      </c>
      <c r="N20" s="3" t="s">
        <v>31</v>
      </c>
      <c r="O20" s="121">
        <v>50</v>
      </c>
      <c r="P20" s="135">
        <v>51708773650</v>
      </c>
      <c r="Q20" s="135">
        <v>1000000000</v>
      </c>
      <c r="R20" s="135">
        <f t="shared" si="55"/>
        <v>50000000000</v>
      </c>
      <c r="S20" s="142">
        <v>0.1075</v>
      </c>
      <c r="T20" s="142"/>
      <c r="U20" s="124">
        <v>45093</v>
      </c>
      <c r="V20" s="124">
        <v>45642</v>
      </c>
      <c r="W20" s="69" t="s">
        <v>161</v>
      </c>
      <c r="X20" s="254">
        <v>45240</v>
      </c>
      <c r="Y20" s="254">
        <f t="shared" ref="Y20:Y29" si="63">MAX(X20,U20)</f>
        <v>45240</v>
      </c>
      <c r="Z20" s="137">
        <f>SUMIFS('Mua bán - filtered'!N:N,'Mua bán - filtered'!A:A,B20)</f>
        <v>765753424.65753424</v>
      </c>
      <c r="AD20" s="151">
        <f t="shared" si="5"/>
        <v>45093</v>
      </c>
      <c r="AE20" s="124">
        <f t="shared" si="5"/>
        <v>45642</v>
      </c>
      <c r="AF20" s="128">
        <f t="shared" si="27"/>
        <v>0.1075</v>
      </c>
      <c r="AG20" s="121" t="s">
        <v>155</v>
      </c>
      <c r="AH20" s="121" t="str">
        <f t="shared" si="6"/>
        <v>Cuối kỳ</v>
      </c>
      <c r="AI20" s="121" cm="1">
        <f t="array" ref="AI20">_xlfn.IFS(AH20="Quý",3,LEFT(AH20,1)="6",6,AH20="Năm",12,AH20="Cuối kỳ",1)</f>
        <v>1</v>
      </c>
      <c r="AJ20" s="124">
        <f t="shared" si="28"/>
        <v>45240</v>
      </c>
      <c r="AK20" s="174">
        <f>SUMIFS('Mua bán - filtered'!N:N,'Mua bán - filtered'!A:A,'Fair value 31.12.2023'!B20)</f>
        <v>765753424.65753424</v>
      </c>
      <c r="AL20" s="152">
        <f t="shared" si="61"/>
        <v>1</v>
      </c>
      <c r="AM20" s="126">
        <f t="shared" si="8"/>
        <v>0</v>
      </c>
      <c r="AN20" s="126"/>
      <c r="AO20" s="151">
        <v>45093</v>
      </c>
      <c r="AP20" s="124">
        <v>45096</v>
      </c>
      <c r="AQ20" s="124">
        <v>45103</v>
      </c>
      <c r="AR20" s="242">
        <v>45240</v>
      </c>
      <c r="AS20" s="138">
        <v>45291</v>
      </c>
      <c r="AT20" s="124">
        <v>45642</v>
      </c>
      <c r="AU20" s="124"/>
      <c r="AV20" s="124"/>
      <c r="AW20" s="124"/>
      <c r="AX20" s="124"/>
      <c r="AY20" s="124"/>
      <c r="AZ20" s="124"/>
      <c r="BA20" s="124"/>
      <c r="BB20" s="124"/>
      <c r="BC20" s="124"/>
      <c r="BD20" s="124"/>
      <c r="BE20" s="124"/>
      <c r="BF20" s="124"/>
      <c r="BG20" s="124"/>
      <c r="BH20" s="124"/>
      <c r="BI20" s="124"/>
      <c r="BJ20" s="124"/>
      <c r="BK20" s="124"/>
      <c r="BL20" s="124"/>
      <c r="BM20" s="124"/>
      <c r="CG20" s="137">
        <f t="shared" si="51"/>
        <v>0</v>
      </c>
      <c r="CI20" s="170">
        <v>-30000000000</v>
      </c>
      <c r="CJ20" s="170">
        <v>5004417810</v>
      </c>
      <c r="CK20" s="170">
        <v>25073630125</v>
      </c>
      <c r="CL20" s="131">
        <v>-51708773650</v>
      </c>
      <c r="CM20" s="140">
        <v>0</v>
      </c>
      <c r="CN20" s="135">
        <v>58084589041.095886</v>
      </c>
      <c r="DN20" s="325"/>
      <c r="DO20" s="152"/>
      <c r="EA20" s="128">
        <f t="shared" si="10"/>
        <v>3.8711297512054182E-3</v>
      </c>
      <c r="EB20" s="248">
        <f t="shared" si="11"/>
        <v>0.11137112975120542</v>
      </c>
      <c r="EC20" s="250"/>
      <c r="ED20" s="160">
        <f t="shared" si="12"/>
        <v>30000000000</v>
      </c>
      <c r="EE20" s="135">
        <f t="shared" si="31"/>
        <v>25021630493.273418</v>
      </c>
      <c r="EF20" s="135">
        <f t="shared" si="31"/>
        <v>-1276983.5029983521</v>
      </c>
      <c r="EG20" s="135">
        <f t="shared" si="31"/>
        <v>51707445038.037155</v>
      </c>
      <c r="EH20" s="135">
        <f t="shared" si="31"/>
        <v>52476008093.826599</v>
      </c>
      <c r="EI20" s="135">
        <f t="shared" si="31"/>
        <v>87.646034240722656</v>
      </c>
      <c r="EJ20" s="135">
        <f t="shared" si="31"/>
        <v>1.615130090223659E-4</v>
      </c>
      <c r="EK20" s="135">
        <f t="shared" si="31"/>
        <v>1.615130090223659E-4</v>
      </c>
      <c r="EL20" s="135">
        <f t="shared" si="31"/>
        <v>1.615130090223659E-4</v>
      </c>
      <c r="EM20" s="135">
        <f t="shared" si="31"/>
        <v>1.615130090223659E-4</v>
      </c>
      <c r="EN20" s="135">
        <f t="shared" si="31"/>
        <v>1.615130090223659E-4</v>
      </c>
      <c r="EO20" s="135">
        <f t="shared" si="31"/>
        <v>1.615130090223659E-4</v>
      </c>
      <c r="EP20" s="135">
        <f t="shared" si="31"/>
        <v>1.615130090223659E-4</v>
      </c>
      <c r="EQ20" s="135">
        <f t="shared" si="31"/>
        <v>1.615130090223659E-4</v>
      </c>
      <c r="ER20" s="135">
        <f t="shared" si="31"/>
        <v>1.615130090223659E-4</v>
      </c>
      <c r="ES20" s="135">
        <f t="shared" si="31"/>
        <v>1.615130090223659E-4</v>
      </c>
      <c r="ET20" s="135">
        <f t="shared" si="31"/>
        <v>1.615130090223659E-4</v>
      </c>
      <c r="EU20" s="135">
        <f t="shared" si="56"/>
        <v>1.615130090223659E-4</v>
      </c>
      <c r="EV20" s="135">
        <f t="shared" si="56"/>
        <v>1.615130090223659E-4</v>
      </c>
      <c r="EW20" s="135">
        <f t="shared" si="56"/>
        <v>1.615130090223659E-4</v>
      </c>
      <c r="EX20" s="135">
        <f t="shared" si="56"/>
        <v>1.615130090223659E-4</v>
      </c>
      <c r="EY20" s="135">
        <f t="shared" si="56"/>
        <v>1.615130090223659E-4</v>
      </c>
      <c r="EZ20" s="135">
        <f t="shared" si="56"/>
        <v>1.615130090223659E-4</v>
      </c>
      <c r="FA20" s="135">
        <f t="shared" si="56"/>
        <v>1.615130090223659E-4</v>
      </c>
      <c r="FB20" s="135">
        <f t="shared" si="56"/>
        <v>1.615130090223659E-4</v>
      </c>
      <c r="FC20" s="135">
        <f t="shared" si="56"/>
        <v>1.615130090223659E-4</v>
      </c>
      <c r="FD20" s="135">
        <f t="shared" si="56"/>
        <v>1.615130090223659E-4</v>
      </c>
      <c r="FE20" s="135">
        <f t="shared" si="56"/>
        <v>1.615130090223659E-4</v>
      </c>
      <c r="FF20" s="135">
        <f t="shared" si="56"/>
        <v>1.615130090223659E-4</v>
      </c>
      <c r="FG20" s="135">
        <f t="shared" si="56"/>
        <v>1.615130090223659E-4</v>
      </c>
      <c r="FH20" s="135">
        <f t="shared" si="56"/>
        <v>1.615130090223659E-4</v>
      </c>
      <c r="FI20" s="135">
        <f t="shared" si="56"/>
        <v>1.615130090223659E-4</v>
      </c>
      <c r="FJ20" s="135">
        <f t="shared" si="56"/>
        <v>1.615130090223659E-4</v>
      </c>
      <c r="FK20" s="135">
        <f t="shared" si="57"/>
        <v>1.615130090223659E-4</v>
      </c>
      <c r="FL20" s="135">
        <f t="shared" si="57"/>
        <v>1.615130090223659E-4</v>
      </c>
      <c r="FM20" s="135">
        <f t="shared" si="57"/>
        <v>1.615130090223659E-4</v>
      </c>
      <c r="FN20" s="135">
        <f t="shared" si="57"/>
        <v>1.615130090223659E-4</v>
      </c>
      <c r="FO20" s="135">
        <f t="shared" si="57"/>
        <v>1.615130090223659E-4</v>
      </c>
      <c r="FP20" s="135">
        <f t="shared" si="57"/>
        <v>1.615130090223659E-4</v>
      </c>
      <c r="FQ20" s="135">
        <f t="shared" si="57"/>
        <v>1.615130090223659E-4</v>
      </c>
      <c r="FR20" s="135">
        <f t="shared" si="57"/>
        <v>1.615130090223659E-4</v>
      </c>
      <c r="FS20" s="135">
        <f t="shared" si="57"/>
        <v>1.615130090223659E-4</v>
      </c>
      <c r="FT20" s="135">
        <f t="shared" si="57"/>
        <v>1.615130090223659E-4</v>
      </c>
      <c r="FU20" s="137">
        <f t="shared" si="57"/>
        <v>1.615130090223659E-4</v>
      </c>
      <c r="FW20" s="134">
        <f t="shared" si="24"/>
        <v>18</v>
      </c>
      <c r="FX20" s="164">
        <v>3</v>
      </c>
      <c r="FY20" s="124">
        <f>HLOOKUP(FX20,$AO$2:CG20,FW20+1,0)</f>
        <v>45240</v>
      </c>
      <c r="FZ20" s="135">
        <f>HLOOKUP(FX20,$ED$2:FU20,FW20+1,0)</f>
        <v>51707445038.037155</v>
      </c>
      <c r="GA20" s="180">
        <f t="shared" si="14"/>
        <v>52450429991.380066</v>
      </c>
      <c r="GB20" s="334">
        <f t="shared" si="15"/>
        <v>52474527074.657532</v>
      </c>
      <c r="GC20" s="181">
        <f t="shared" si="21"/>
        <v>24097083.27746582</v>
      </c>
      <c r="GD20" s="165">
        <f t="shared" si="16"/>
        <v>0</v>
      </c>
    </row>
    <row r="21" spans="1:186">
      <c r="A21" s="134" t="s">
        <v>83</v>
      </c>
      <c r="B21" s="121" t="s">
        <v>34</v>
      </c>
      <c r="C21" s="121" t="s">
        <v>154</v>
      </c>
      <c r="D21" s="121" t="str">
        <f>VLOOKUP(B21,'NTFS - Supporting'!B:C,2,0)</f>
        <v>CI</v>
      </c>
      <c r="G21" s="128">
        <v>6.8000000000000005E-2</v>
      </c>
      <c r="H21" s="222">
        <v>4.9000000000000002E-2</v>
      </c>
      <c r="I21" s="128">
        <f t="shared" si="58"/>
        <v>8.2000000000000003E-2</v>
      </c>
      <c r="J21" s="140">
        <f>XNPV(I21,CJ21:CK21,AP21:AQ21)</f>
        <v>52863831750.881973</v>
      </c>
      <c r="K21" s="140">
        <v>52388262130.951591</v>
      </c>
      <c r="L21" s="141">
        <f t="shared" si="23"/>
        <v>475569619.93038177</v>
      </c>
      <c r="M21" s="121" t="s">
        <v>34</v>
      </c>
      <c r="N21" s="3" t="s">
        <v>31</v>
      </c>
      <c r="O21" s="121">
        <v>500</v>
      </c>
      <c r="P21" s="135">
        <v>50000000000</v>
      </c>
      <c r="Q21" s="135">
        <v>100000000</v>
      </c>
      <c r="R21" s="135">
        <f t="shared" si="55"/>
        <v>50000000000</v>
      </c>
      <c r="S21" s="136">
        <v>0.10100000000000001</v>
      </c>
      <c r="T21" s="136"/>
      <c r="U21" s="124">
        <v>45114</v>
      </c>
      <c r="V21" s="124">
        <v>45481</v>
      </c>
      <c r="W21" s="69" t="s">
        <v>161</v>
      </c>
      <c r="X21" s="124">
        <v>45114</v>
      </c>
      <c r="Y21" s="124">
        <f t="shared" si="63"/>
        <v>45114</v>
      </c>
      <c r="Z21" s="137">
        <f>SUMIFS('Mua bán - filtered'!N:N,'Mua bán - filtered'!A:A,B21)</f>
        <v>2462739726.0273972</v>
      </c>
      <c r="AD21" s="151">
        <f t="shared" si="5"/>
        <v>45114</v>
      </c>
      <c r="AE21" s="124">
        <f t="shared" si="5"/>
        <v>45481</v>
      </c>
      <c r="AF21" s="128">
        <f t="shared" si="27"/>
        <v>0.10100000000000001</v>
      </c>
      <c r="AG21" s="121" t="s">
        <v>155</v>
      </c>
      <c r="AH21" s="121" t="str">
        <f t="shared" si="6"/>
        <v>Cuối kỳ</v>
      </c>
      <c r="AI21" s="121" cm="1">
        <f t="array" ref="AI21">_xlfn.IFS(AH21="Quý",3,LEFT(AH21,1)="6",6,AH21="Năm",12,AH21="Cuối kỳ",1)</f>
        <v>1</v>
      </c>
      <c r="AJ21" s="124">
        <f t="shared" si="28"/>
        <v>45114</v>
      </c>
      <c r="AK21" s="174">
        <f>SUMIFS('Mua bán - filtered'!N:N,'Mua bán - filtered'!A:A,'Fair value 31.12.2023'!B21)</f>
        <v>2462739726.0273972</v>
      </c>
      <c r="AL21" s="152">
        <f t="shared" si="61"/>
        <v>1</v>
      </c>
      <c r="AM21" s="126">
        <f t="shared" si="8"/>
        <v>0</v>
      </c>
      <c r="AN21" s="126"/>
      <c r="AO21" s="151">
        <v>45114</v>
      </c>
      <c r="AP21" s="138">
        <v>45291</v>
      </c>
      <c r="AQ21" s="124">
        <v>45481</v>
      </c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D21" s="124"/>
      <c r="BE21" s="124"/>
      <c r="BF21" s="124"/>
      <c r="BG21" s="124"/>
      <c r="BH21" s="124"/>
      <c r="BI21" s="124"/>
      <c r="BJ21" s="124"/>
      <c r="BK21" s="124"/>
      <c r="BL21" s="124"/>
      <c r="BM21" s="124"/>
      <c r="CG21" s="137">
        <f t="shared" si="51"/>
        <v>0</v>
      </c>
      <c r="CI21" s="160">
        <v>-50000000000</v>
      </c>
      <c r="CJ21" s="126">
        <v>0</v>
      </c>
      <c r="CK21" s="126">
        <f>R21+R21*AF21*(V21-U21)/365</f>
        <v>55077671232.876709</v>
      </c>
      <c r="DN21" s="325"/>
      <c r="DO21" s="152"/>
      <c r="EA21" s="128">
        <f t="shared" si="10"/>
        <v>-2.7043581008912021E-5</v>
      </c>
      <c r="EB21" s="248">
        <f t="shared" si="11"/>
        <v>0.10097295641899109</v>
      </c>
      <c r="EC21" s="250"/>
      <c r="ED21" s="160">
        <f t="shared" si="12"/>
        <v>50000000000</v>
      </c>
      <c r="EE21" s="135">
        <f t="shared" si="31"/>
        <v>52387638117.400696</v>
      </c>
      <c r="EF21" s="135">
        <f t="shared" si="31"/>
        <v>-60.317085266113281</v>
      </c>
      <c r="EG21" s="135">
        <f t="shared" si="31"/>
        <v>-3.7569954754818996E-4</v>
      </c>
      <c r="EH21" s="135">
        <f t="shared" si="31"/>
        <v>-3.7569954754818996E-4</v>
      </c>
      <c r="EI21" s="135">
        <f t="shared" si="31"/>
        <v>-3.7569954754818996E-4</v>
      </c>
      <c r="EJ21" s="135">
        <f t="shared" si="31"/>
        <v>-3.7569954754818996E-4</v>
      </c>
      <c r="EK21" s="135">
        <f t="shared" si="31"/>
        <v>-3.7569954754818996E-4</v>
      </c>
      <c r="EL21" s="135">
        <f t="shared" si="31"/>
        <v>-3.7569954754818996E-4</v>
      </c>
      <c r="EM21" s="135">
        <f t="shared" si="31"/>
        <v>-3.7569954754818996E-4</v>
      </c>
      <c r="EN21" s="135">
        <f t="shared" si="31"/>
        <v>-3.7569954754818996E-4</v>
      </c>
      <c r="EO21" s="135">
        <f t="shared" si="31"/>
        <v>-3.7569954754818996E-4</v>
      </c>
      <c r="EP21" s="135">
        <f t="shared" si="31"/>
        <v>-3.7569954754818996E-4</v>
      </c>
      <c r="EQ21" s="135">
        <f t="shared" si="31"/>
        <v>-3.7569954754818996E-4</v>
      </c>
      <c r="ER21" s="135">
        <f t="shared" si="31"/>
        <v>-3.7569954754818996E-4</v>
      </c>
      <c r="ES21" s="135">
        <f t="shared" si="31"/>
        <v>-3.7569954754818996E-4</v>
      </c>
      <c r="ET21" s="135">
        <f t="shared" si="31"/>
        <v>-3.7569954754818996E-4</v>
      </c>
      <c r="EU21" s="135">
        <f t="shared" si="56"/>
        <v>-3.7569954754818996E-4</v>
      </c>
      <c r="EV21" s="135">
        <f t="shared" si="56"/>
        <v>-3.7569954754818996E-4</v>
      </c>
      <c r="EW21" s="135">
        <f t="shared" si="56"/>
        <v>-3.7569954754818996E-4</v>
      </c>
      <c r="EX21" s="135">
        <f t="shared" si="56"/>
        <v>-3.7569954754818996E-4</v>
      </c>
      <c r="EY21" s="135">
        <f t="shared" si="56"/>
        <v>-3.7569954754818996E-4</v>
      </c>
      <c r="EZ21" s="135">
        <f t="shared" si="56"/>
        <v>-3.7569954754818996E-4</v>
      </c>
      <c r="FA21" s="135">
        <f t="shared" si="56"/>
        <v>-3.7569954754818996E-4</v>
      </c>
      <c r="FB21" s="135">
        <f t="shared" si="56"/>
        <v>-3.7569954754818996E-4</v>
      </c>
      <c r="FC21" s="135">
        <f t="shared" si="56"/>
        <v>-3.7569954754818996E-4</v>
      </c>
      <c r="FD21" s="135">
        <f t="shared" si="56"/>
        <v>-3.7569954754818996E-4</v>
      </c>
      <c r="FE21" s="135">
        <f t="shared" si="56"/>
        <v>-3.7569954754818996E-4</v>
      </c>
      <c r="FF21" s="135">
        <f t="shared" si="56"/>
        <v>-3.7569954754818996E-4</v>
      </c>
      <c r="FG21" s="135">
        <f t="shared" si="56"/>
        <v>-3.7569954754818996E-4</v>
      </c>
      <c r="FH21" s="135">
        <f t="shared" si="56"/>
        <v>-3.7569954754818996E-4</v>
      </c>
      <c r="FI21" s="135">
        <f t="shared" si="56"/>
        <v>-3.7569954754818996E-4</v>
      </c>
      <c r="FJ21" s="135">
        <f t="shared" si="56"/>
        <v>-3.7569954754818996E-4</v>
      </c>
      <c r="FK21" s="135">
        <f t="shared" si="57"/>
        <v>-3.7569954754818996E-4</v>
      </c>
      <c r="FL21" s="135">
        <f t="shared" si="57"/>
        <v>-3.7569954754818996E-4</v>
      </c>
      <c r="FM21" s="135">
        <f t="shared" si="57"/>
        <v>-3.7569954754818996E-4</v>
      </c>
      <c r="FN21" s="135">
        <f t="shared" si="57"/>
        <v>-3.7569954754818996E-4</v>
      </c>
      <c r="FO21" s="135">
        <f t="shared" si="57"/>
        <v>-3.7569954754818996E-4</v>
      </c>
      <c r="FP21" s="135">
        <f t="shared" si="57"/>
        <v>-3.7569954754818996E-4</v>
      </c>
      <c r="FQ21" s="135">
        <f t="shared" si="57"/>
        <v>-3.7569954754818996E-4</v>
      </c>
      <c r="FR21" s="135">
        <f t="shared" si="57"/>
        <v>-3.7569954754818996E-4</v>
      </c>
      <c r="FS21" s="135">
        <f t="shared" si="57"/>
        <v>-3.7569954754818996E-4</v>
      </c>
      <c r="FT21" s="135">
        <f t="shared" si="57"/>
        <v>-3.7569954754818996E-4</v>
      </c>
      <c r="FU21" s="137">
        <f t="shared" si="57"/>
        <v>-3.7569954754818996E-4</v>
      </c>
      <c r="FW21" s="134">
        <f t="shared" si="24"/>
        <v>19</v>
      </c>
      <c r="FX21" s="164">
        <v>0</v>
      </c>
      <c r="FY21" s="124">
        <f>HLOOKUP(FX21,$AO$2:CG21,FW21+1,0)</f>
        <v>45114</v>
      </c>
      <c r="FZ21" s="135">
        <f>HLOOKUP(FX21,$ED$2:FU21,FW21+1,0)</f>
        <v>50000000000</v>
      </c>
      <c r="GA21" s="180">
        <f t="shared" si="14"/>
        <v>52388262130.951591</v>
      </c>
      <c r="GB21" s="334">
        <f t="shared" si="15"/>
        <v>52462739726.027397</v>
      </c>
      <c r="GC21" s="181">
        <f t="shared" si="21"/>
        <v>74477595.075805664</v>
      </c>
      <c r="GD21" s="165">
        <f t="shared" si="16"/>
        <v>0</v>
      </c>
    </row>
    <row r="22" spans="1:186">
      <c r="A22" s="134" t="s">
        <v>83</v>
      </c>
      <c r="B22" s="121" t="s">
        <v>35</v>
      </c>
      <c r="C22" s="121" t="s">
        <v>154</v>
      </c>
      <c r="D22" s="121" t="str">
        <f>VLOOKUP(B22,'NTFS - Supporting'!B:C,2,0)</f>
        <v>CI</v>
      </c>
      <c r="G22" s="128">
        <v>6.8000000000000005E-2</v>
      </c>
      <c r="H22" s="222">
        <v>4.9000000000000002E-2</v>
      </c>
      <c r="I22" s="128">
        <f t="shared" si="58"/>
        <v>8.2000000000000003E-2</v>
      </c>
      <c r="J22" s="140">
        <f>XNPV(I22,CJ22:CK22,AP22:AQ22)</f>
        <v>52797250647.547615</v>
      </c>
      <c r="K22" s="140">
        <v>52305466167.805672</v>
      </c>
      <c r="L22" s="141">
        <f t="shared" si="23"/>
        <v>491784479.74194336</v>
      </c>
      <c r="M22" s="121" t="s">
        <v>35</v>
      </c>
      <c r="N22" s="3" t="s">
        <v>31</v>
      </c>
      <c r="O22" s="121">
        <v>500</v>
      </c>
      <c r="P22" s="135">
        <v>50000000000</v>
      </c>
      <c r="Q22" s="135">
        <v>100000000</v>
      </c>
      <c r="R22" s="135">
        <f t="shared" si="55"/>
        <v>50000000000</v>
      </c>
      <c r="S22" s="136">
        <v>0.10100000000000001</v>
      </c>
      <c r="T22" s="136"/>
      <c r="U22" s="124">
        <v>45120</v>
      </c>
      <c r="V22" s="124">
        <v>45488</v>
      </c>
      <c r="W22" s="69" t="s">
        <v>161</v>
      </c>
      <c r="X22" s="124">
        <v>45120</v>
      </c>
      <c r="Y22" s="124">
        <f t="shared" si="63"/>
        <v>45120</v>
      </c>
      <c r="Z22" s="137">
        <f>SUMIFS('Mua bán - filtered'!N:N,'Mua bán - filtered'!A:A,B22)</f>
        <v>2379726027.3972602</v>
      </c>
      <c r="AD22" s="151">
        <f t="shared" si="5"/>
        <v>45120</v>
      </c>
      <c r="AE22" s="124">
        <f t="shared" si="5"/>
        <v>45488</v>
      </c>
      <c r="AF22" s="128">
        <f t="shared" si="27"/>
        <v>0.10100000000000001</v>
      </c>
      <c r="AG22" s="121" t="s">
        <v>155</v>
      </c>
      <c r="AH22" s="121" t="str">
        <f t="shared" si="6"/>
        <v>Cuối kỳ</v>
      </c>
      <c r="AI22" s="121" cm="1">
        <f t="array" ref="AI22">_xlfn.IFS(AH22="Quý",3,LEFT(AH22,1)="6",6,AH22="Năm",12,AH22="Cuối kỳ",1)</f>
        <v>1</v>
      </c>
      <c r="AJ22" s="124">
        <f t="shared" si="28"/>
        <v>45120</v>
      </c>
      <c r="AK22" s="174">
        <f>SUMIFS('Mua bán - filtered'!N:N,'Mua bán - filtered'!A:A,'Fair value 31.12.2023'!B22)</f>
        <v>2379726027.3972602</v>
      </c>
      <c r="AL22" s="152">
        <f t="shared" si="61"/>
        <v>1</v>
      </c>
      <c r="AM22" s="126">
        <f t="shared" si="8"/>
        <v>0</v>
      </c>
      <c r="AN22" s="126"/>
      <c r="AO22" s="151">
        <v>45120</v>
      </c>
      <c r="AP22" s="138">
        <v>45291</v>
      </c>
      <c r="AQ22" s="124">
        <v>45488</v>
      </c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D22" s="124"/>
      <c r="BE22" s="124"/>
      <c r="BF22" s="124"/>
      <c r="BG22" s="124"/>
      <c r="BH22" s="124"/>
      <c r="BI22" s="124"/>
      <c r="BJ22" s="124"/>
      <c r="BK22" s="124"/>
      <c r="BL22" s="124"/>
      <c r="BM22" s="124"/>
      <c r="CG22" s="137">
        <f t="shared" si="51"/>
        <v>0</v>
      </c>
      <c r="CI22" s="160">
        <v>-50000000000</v>
      </c>
      <c r="CJ22" s="126">
        <v>0</v>
      </c>
      <c r="CK22" s="126">
        <f>R22+R22*AF22*(V22-U22)/365</f>
        <v>55091506849.315071</v>
      </c>
      <c r="DN22" s="325"/>
      <c r="DO22" s="152"/>
      <c r="EA22" s="128">
        <f t="shared" si="10"/>
        <v>-4.0561914443959513E-5</v>
      </c>
      <c r="EB22" s="248">
        <f t="shared" si="11"/>
        <v>0.10095943808555605</v>
      </c>
      <c r="EC22" s="250"/>
      <c r="ED22" s="160">
        <f t="shared" si="12"/>
        <v>50000000000</v>
      </c>
      <c r="EE22" s="135">
        <f t="shared" si="31"/>
        <v>52304563379.965675</v>
      </c>
      <c r="EF22" s="135">
        <f t="shared" si="31"/>
        <v>-274.32862854003906</v>
      </c>
      <c r="EG22" s="135">
        <f t="shared" si="31"/>
        <v>-1.7081846958367152E-3</v>
      </c>
      <c r="EH22" s="135">
        <f t="shared" si="31"/>
        <v>-1.7081846958367152E-3</v>
      </c>
      <c r="EI22" s="135">
        <f t="shared" si="31"/>
        <v>-1.7081846958367152E-3</v>
      </c>
      <c r="EJ22" s="135">
        <f t="shared" si="31"/>
        <v>-1.7081846958367152E-3</v>
      </c>
      <c r="EK22" s="135">
        <f t="shared" si="31"/>
        <v>-1.7081846958367152E-3</v>
      </c>
      <c r="EL22" s="135">
        <f t="shared" si="31"/>
        <v>-1.7081846958367152E-3</v>
      </c>
      <c r="EM22" s="135">
        <f t="shared" si="31"/>
        <v>-1.7081846958367152E-3</v>
      </c>
      <c r="EN22" s="135">
        <f t="shared" si="31"/>
        <v>-1.7081846958367152E-3</v>
      </c>
      <c r="EO22" s="135">
        <f t="shared" si="31"/>
        <v>-1.7081846958367152E-3</v>
      </c>
      <c r="EP22" s="135">
        <f t="shared" si="31"/>
        <v>-1.7081846958367152E-3</v>
      </c>
      <c r="EQ22" s="135">
        <f t="shared" si="31"/>
        <v>-1.7081846958367152E-3</v>
      </c>
      <c r="ER22" s="135">
        <f t="shared" si="31"/>
        <v>-1.7081846958367152E-3</v>
      </c>
      <c r="ES22" s="135">
        <f t="shared" si="31"/>
        <v>-1.7081846958367152E-3</v>
      </c>
      <c r="ET22" s="135">
        <f t="shared" si="31"/>
        <v>-1.7081846958367152E-3</v>
      </c>
      <c r="EU22" s="135">
        <f t="shared" si="56"/>
        <v>-1.7081846958367152E-3</v>
      </c>
      <c r="EV22" s="135">
        <f t="shared" si="56"/>
        <v>-1.7081846958367152E-3</v>
      </c>
      <c r="EW22" s="135">
        <f t="shared" si="56"/>
        <v>-1.7081846958367152E-3</v>
      </c>
      <c r="EX22" s="135">
        <f t="shared" si="56"/>
        <v>-1.7081846958367152E-3</v>
      </c>
      <c r="EY22" s="135">
        <f t="shared" si="56"/>
        <v>-1.7081846958367152E-3</v>
      </c>
      <c r="EZ22" s="135">
        <f t="shared" si="56"/>
        <v>-1.7081846958367152E-3</v>
      </c>
      <c r="FA22" s="135">
        <f t="shared" si="56"/>
        <v>-1.7081846958367152E-3</v>
      </c>
      <c r="FB22" s="135">
        <f t="shared" si="56"/>
        <v>-1.7081846958367152E-3</v>
      </c>
      <c r="FC22" s="135">
        <f t="shared" si="56"/>
        <v>-1.7081846958367152E-3</v>
      </c>
      <c r="FD22" s="135">
        <f t="shared" si="56"/>
        <v>-1.7081846958367152E-3</v>
      </c>
      <c r="FE22" s="135">
        <f t="shared" si="56"/>
        <v>-1.7081846958367152E-3</v>
      </c>
      <c r="FF22" s="135">
        <f t="shared" si="56"/>
        <v>-1.7081846958367152E-3</v>
      </c>
      <c r="FG22" s="135">
        <f t="shared" si="56"/>
        <v>-1.7081846958367152E-3</v>
      </c>
      <c r="FH22" s="135">
        <f t="shared" si="56"/>
        <v>-1.7081846958367152E-3</v>
      </c>
      <c r="FI22" s="135">
        <f t="shared" si="56"/>
        <v>-1.7081846958367152E-3</v>
      </c>
      <c r="FJ22" s="135">
        <f t="shared" si="56"/>
        <v>-1.7081846958367152E-3</v>
      </c>
      <c r="FK22" s="135">
        <f t="shared" si="57"/>
        <v>-1.7081846958367152E-3</v>
      </c>
      <c r="FL22" s="135">
        <f t="shared" si="57"/>
        <v>-1.7081846958367152E-3</v>
      </c>
      <c r="FM22" s="135">
        <f t="shared" si="57"/>
        <v>-1.7081846958367152E-3</v>
      </c>
      <c r="FN22" s="135">
        <f t="shared" si="57"/>
        <v>-1.7081846958367152E-3</v>
      </c>
      <c r="FO22" s="135">
        <f t="shared" si="57"/>
        <v>-1.7081846958367152E-3</v>
      </c>
      <c r="FP22" s="135">
        <f t="shared" si="57"/>
        <v>-1.7081846958367152E-3</v>
      </c>
      <c r="FQ22" s="135">
        <f t="shared" si="57"/>
        <v>-1.7081846958367152E-3</v>
      </c>
      <c r="FR22" s="135">
        <f t="shared" si="57"/>
        <v>-1.7081846958367152E-3</v>
      </c>
      <c r="FS22" s="135">
        <f t="shared" si="57"/>
        <v>-1.7081846958367152E-3</v>
      </c>
      <c r="FT22" s="135">
        <f t="shared" si="57"/>
        <v>-1.7081846958367152E-3</v>
      </c>
      <c r="FU22" s="137">
        <f t="shared" si="57"/>
        <v>-1.7081846958367152E-3</v>
      </c>
      <c r="FW22" s="134">
        <f t="shared" si="24"/>
        <v>20</v>
      </c>
      <c r="FX22" s="164">
        <v>0</v>
      </c>
      <c r="FY22" s="124">
        <f>HLOOKUP(FX22,$AO$2:CG22,FW22+1,0)</f>
        <v>45120</v>
      </c>
      <c r="FZ22" s="135">
        <f>HLOOKUP(FX22,$ED$2:FU22,FW22+1,0)</f>
        <v>50000000000</v>
      </c>
      <c r="GA22" s="180">
        <f t="shared" si="14"/>
        <v>52305466167.805672</v>
      </c>
      <c r="GB22" s="334">
        <f t="shared" si="15"/>
        <v>52379726027.397263</v>
      </c>
      <c r="GC22" s="181">
        <f t="shared" si="21"/>
        <v>74259859.591590881</v>
      </c>
      <c r="GD22" s="165">
        <f t="shared" si="16"/>
        <v>0</v>
      </c>
    </row>
    <row r="23" spans="1:186">
      <c r="A23" s="134" t="s">
        <v>83</v>
      </c>
      <c r="B23" s="121" t="s">
        <v>36</v>
      </c>
      <c r="C23" s="121" t="s">
        <v>154</v>
      </c>
      <c r="D23" s="121" t="s">
        <v>84</v>
      </c>
      <c r="G23" s="128">
        <v>6.8000000000000005E-2</v>
      </c>
      <c r="H23" s="222">
        <v>4.9000000000000002E-2</v>
      </c>
      <c r="I23" s="128">
        <f t="shared" si="58"/>
        <v>9.0999999999999998E-2</v>
      </c>
      <c r="J23" s="140">
        <f>XNPV(I23,CJ23:CL23,AP23:AR23)</f>
        <v>106226040126.52766</v>
      </c>
      <c r="K23" s="140">
        <v>105100800238.71132</v>
      </c>
      <c r="L23" s="141">
        <f t="shared" si="23"/>
        <v>1125239887.8163452</v>
      </c>
      <c r="M23" s="121" t="s">
        <v>36</v>
      </c>
      <c r="N23" s="3" t="s">
        <v>31</v>
      </c>
      <c r="O23" s="121">
        <v>100</v>
      </c>
      <c r="P23" s="135">
        <v>100000000000</v>
      </c>
      <c r="Q23" s="135">
        <v>1000000000</v>
      </c>
      <c r="R23" s="135">
        <f t="shared" si="55"/>
        <v>100000000000</v>
      </c>
      <c r="S23" s="136">
        <v>0.11</v>
      </c>
      <c r="T23" s="136"/>
      <c r="U23" s="124">
        <v>45117</v>
      </c>
      <c r="V23" s="124">
        <v>45469</v>
      </c>
      <c r="W23" s="69" t="s">
        <v>161</v>
      </c>
      <c r="X23" s="124">
        <v>45117</v>
      </c>
      <c r="Y23" s="124">
        <f t="shared" si="63"/>
        <v>45117</v>
      </c>
      <c r="Z23" s="137">
        <f>SUMIFS('Mua bán - filtered'!N:N,'Mua bán - filtered'!A:A,B23)</f>
        <v>5273972602.7397261</v>
      </c>
      <c r="AD23" s="151">
        <f t="shared" si="5"/>
        <v>45117</v>
      </c>
      <c r="AE23" s="124">
        <f t="shared" si="5"/>
        <v>45469</v>
      </c>
      <c r="AF23" s="128">
        <f t="shared" si="27"/>
        <v>0.11</v>
      </c>
      <c r="AG23" s="121" t="s">
        <v>155</v>
      </c>
      <c r="AH23" s="121" t="str">
        <f t="shared" si="6"/>
        <v>Cuối kỳ</v>
      </c>
      <c r="AI23" s="121" cm="1">
        <f t="array" ref="AI23">_xlfn.IFS(AH23="Quý",3,LEFT(AH23,1)="6",6,AH23="Năm",12,AH23="Cuối kỳ",1)</f>
        <v>1</v>
      </c>
      <c r="AJ23" s="124">
        <f t="shared" si="28"/>
        <v>45117</v>
      </c>
      <c r="AK23" s="174">
        <f>SUMIFS('Mua bán - filtered'!N:N,'Mua bán - filtered'!A:A,'Fair value 31.12.2023'!B23)</f>
        <v>5273972602.7397261</v>
      </c>
      <c r="AL23" s="152">
        <f t="shared" si="61"/>
        <v>1</v>
      </c>
      <c r="AM23" s="126">
        <f t="shared" si="8"/>
        <v>0</v>
      </c>
      <c r="AN23" s="126"/>
      <c r="AO23" s="320">
        <v>45117</v>
      </c>
      <c r="AP23" s="138">
        <v>45291</v>
      </c>
      <c r="AQ23" s="235">
        <v>45301</v>
      </c>
      <c r="AR23" s="235">
        <v>45469</v>
      </c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D23" s="124"/>
      <c r="BE23" s="124"/>
      <c r="BF23" s="124"/>
      <c r="BG23" s="124"/>
      <c r="BH23" s="124"/>
      <c r="BI23" s="124"/>
      <c r="BJ23" s="124"/>
      <c r="BK23" s="124"/>
      <c r="BL23" s="124"/>
      <c r="BM23" s="124"/>
      <c r="CG23" s="137">
        <f t="shared" si="51"/>
        <v>0</v>
      </c>
      <c r="CI23" s="160">
        <v>-100000000000</v>
      </c>
      <c r="CJ23" s="126">
        <v>0</v>
      </c>
      <c r="CK23" s="126">
        <v>5545205479</v>
      </c>
      <c r="CL23" s="238">
        <v>105063013699</v>
      </c>
      <c r="DN23" s="325"/>
      <c r="DO23" s="152"/>
      <c r="EA23" s="128">
        <f t="shared" si="10"/>
        <v>3.1270229816436762E-3</v>
      </c>
      <c r="EB23" s="248">
        <f t="shared" si="11"/>
        <v>0.11312702298164368</v>
      </c>
      <c r="EC23" s="250"/>
      <c r="ED23" s="160">
        <f t="shared" si="12"/>
        <v>100000000000</v>
      </c>
      <c r="EE23" s="135">
        <f t="shared" si="31"/>
        <v>105241842975.86557</v>
      </c>
      <c r="EF23" s="135">
        <f t="shared" si="31"/>
        <v>100006108172.36118</v>
      </c>
      <c r="EG23" s="135">
        <f t="shared" si="31"/>
        <v>-391.49954223632813</v>
      </c>
      <c r="EH23" s="135">
        <f t="shared" si="31"/>
        <v>-6.2306532994609498E-4</v>
      </c>
      <c r="EI23" s="135">
        <f t="shared" si="31"/>
        <v>-6.2306532994609498E-4</v>
      </c>
      <c r="EJ23" s="135">
        <f t="shared" si="31"/>
        <v>-6.2306532994609498E-4</v>
      </c>
      <c r="EK23" s="135">
        <f t="shared" si="31"/>
        <v>-6.2306532994609498E-4</v>
      </c>
      <c r="EL23" s="135">
        <f t="shared" si="31"/>
        <v>-6.2306532994609498E-4</v>
      </c>
      <c r="EM23" s="135">
        <f t="shared" si="31"/>
        <v>-6.2306532994609498E-4</v>
      </c>
      <c r="EN23" s="135">
        <f t="shared" si="31"/>
        <v>-6.2306532994609498E-4</v>
      </c>
      <c r="EO23" s="135">
        <f t="shared" si="31"/>
        <v>-6.2306532994609498E-4</v>
      </c>
      <c r="EP23" s="135">
        <f t="shared" si="31"/>
        <v>-6.2306532994609498E-4</v>
      </c>
      <c r="EQ23" s="135">
        <f t="shared" si="31"/>
        <v>-6.2306532994609498E-4</v>
      </c>
      <c r="ER23" s="135">
        <f t="shared" si="31"/>
        <v>-6.2306532994609498E-4</v>
      </c>
      <c r="ES23" s="135">
        <f t="shared" si="31"/>
        <v>-6.2306532994609498E-4</v>
      </c>
      <c r="ET23" s="135">
        <f t="shared" si="31"/>
        <v>-6.2306532994609498E-4</v>
      </c>
      <c r="EU23" s="135">
        <f t="shared" si="56"/>
        <v>-6.2306532994609498E-4</v>
      </c>
      <c r="EV23" s="135">
        <f t="shared" si="56"/>
        <v>-6.2306532994609498E-4</v>
      </c>
      <c r="EW23" s="135">
        <f t="shared" si="56"/>
        <v>-6.2306532994609498E-4</v>
      </c>
      <c r="EX23" s="135">
        <f t="shared" si="56"/>
        <v>-6.2306532994609498E-4</v>
      </c>
      <c r="EY23" s="135">
        <f t="shared" si="56"/>
        <v>-6.2306532994609498E-4</v>
      </c>
      <c r="EZ23" s="135">
        <f t="shared" si="56"/>
        <v>-6.2306532994609498E-4</v>
      </c>
      <c r="FA23" s="135">
        <f t="shared" si="56"/>
        <v>-6.2306532994609498E-4</v>
      </c>
      <c r="FB23" s="135">
        <f t="shared" si="56"/>
        <v>-6.2306532994609498E-4</v>
      </c>
      <c r="FC23" s="135">
        <f t="shared" si="56"/>
        <v>-6.2306532994609498E-4</v>
      </c>
      <c r="FD23" s="135">
        <f t="shared" si="56"/>
        <v>-6.2306532994609498E-4</v>
      </c>
      <c r="FE23" s="135">
        <f t="shared" si="56"/>
        <v>-6.2306532994609498E-4</v>
      </c>
      <c r="FF23" s="135">
        <f t="shared" si="56"/>
        <v>-6.2306532994609498E-4</v>
      </c>
      <c r="FG23" s="135">
        <f t="shared" si="56"/>
        <v>-6.2306532994609498E-4</v>
      </c>
      <c r="FH23" s="135">
        <f t="shared" si="56"/>
        <v>-6.2306532994609498E-4</v>
      </c>
      <c r="FI23" s="135">
        <f t="shared" si="56"/>
        <v>-6.2306532994609498E-4</v>
      </c>
      <c r="FJ23" s="135">
        <f t="shared" si="56"/>
        <v>-6.2306532994609498E-4</v>
      </c>
      <c r="FK23" s="135">
        <f t="shared" si="57"/>
        <v>-6.2306532994609498E-4</v>
      </c>
      <c r="FL23" s="135">
        <f t="shared" si="57"/>
        <v>-6.2306532994609498E-4</v>
      </c>
      <c r="FM23" s="135">
        <f t="shared" si="57"/>
        <v>-6.2306532994609498E-4</v>
      </c>
      <c r="FN23" s="135">
        <f t="shared" si="57"/>
        <v>-6.2306532994609498E-4</v>
      </c>
      <c r="FO23" s="135">
        <f t="shared" si="57"/>
        <v>-6.2306532994609498E-4</v>
      </c>
      <c r="FP23" s="135">
        <f t="shared" si="57"/>
        <v>-6.2306532994609498E-4</v>
      </c>
      <c r="FQ23" s="135">
        <f t="shared" si="57"/>
        <v>-6.2306532994609498E-4</v>
      </c>
      <c r="FR23" s="135">
        <f t="shared" si="57"/>
        <v>-6.2306532994609498E-4</v>
      </c>
      <c r="FS23" s="135">
        <f t="shared" si="57"/>
        <v>-6.2306532994609498E-4</v>
      </c>
      <c r="FT23" s="135">
        <f t="shared" si="57"/>
        <v>-6.2306532994609498E-4</v>
      </c>
      <c r="FU23" s="137">
        <f t="shared" si="57"/>
        <v>-6.2306532994609498E-4</v>
      </c>
      <c r="FW23" s="134">
        <f t="shared" si="24"/>
        <v>21</v>
      </c>
      <c r="FX23" s="164">
        <v>0</v>
      </c>
      <c r="FY23" s="124">
        <f>HLOOKUP(FX23,$AO$2:CG23,FW23+1,0)</f>
        <v>45117</v>
      </c>
      <c r="FZ23" s="135">
        <f>HLOOKUP(FX23,$ED$2:FU23,FW23+1,0)</f>
        <v>100000000000</v>
      </c>
      <c r="GA23" s="180">
        <f t="shared" si="14"/>
        <v>105100800238.71132</v>
      </c>
      <c r="GB23" s="334">
        <f t="shared" si="15"/>
        <v>105273972602.73973</v>
      </c>
      <c r="GC23" s="181">
        <f t="shared" si="21"/>
        <v>173172364.02841187</v>
      </c>
      <c r="GD23" s="165">
        <f t="shared" si="16"/>
        <v>0</v>
      </c>
    </row>
    <row r="24" spans="1:186">
      <c r="A24" s="134" t="s">
        <v>83</v>
      </c>
      <c r="B24" s="121" t="s">
        <v>85</v>
      </c>
      <c r="C24" s="121" t="s">
        <v>154</v>
      </c>
      <c r="D24" s="121" t="s">
        <v>156</v>
      </c>
      <c r="G24" s="128">
        <v>7.2999999999999995E-2</v>
      </c>
      <c r="H24" s="128">
        <v>4.9000000000000002E-2</v>
      </c>
      <c r="I24" s="128">
        <f>S24-G24+H24</f>
        <v>5.1000000000000018E-2</v>
      </c>
      <c r="J24" s="140">
        <f>XNPV(I24,CJ24:CV24,AP24:BB24)</f>
        <v>116562960195.55518</v>
      </c>
      <c r="K24" s="140">
        <v>103713026548.22363</v>
      </c>
      <c r="L24" s="141">
        <f t="shared" si="23"/>
        <v>12849933647.331543</v>
      </c>
      <c r="M24" s="121" t="s">
        <v>37</v>
      </c>
      <c r="N24" s="3" t="s">
        <v>31</v>
      </c>
      <c r="O24" s="121">
        <v>1</v>
      </c>
      <c r="P24" s="135">
        <v>100000000000</v>
      </c>
      <c r="Q24" s="135">
        <v>100000000000</v>
      </c>
      <c r="R24" s="135">
        <f t="shared" si="55"/>
        <v>100000000000</v>
      </c>
      <c r="S24" s="136">
        <v>7.5000000000000011E-2</v>
      </c>
      <c r="T24" s="136"/>
      <c r="U24" s="124">
        <v>45107</v>
      </c>
      <c r="V24" s="124">
        <v>47299</v>
      </c>
      <c r="W24" s="253" t="s">
        <v>15</v>
      </c>
      <c r="X24" s="124">
        <v>45107</v>
      </c>
      <c r="Y24" s="124">
        <f t="shared" si="63"/>
        <v>45107</v>
      </c>
      <c r="Z24" s="137">
        <f>SUMIFS('Mua bán - filtered'!N:N,'Mua bán - filtered'!A:A,B24)</f>
        <v>3801369863.0136995</v>
      </c>
      <c r="AD24" s="151">
        <f t="shared" si="5"/>
        <v>45107</v>
      </c>
      <c r="AE24" s="124">
        <f t="shared" si="5"/>
        <v>47299</v>
      </c>
      <c r="AF24" s="128">
        <f t="shared" si="27"/>
        <v>7.5000000000000011E-2</v>
      </c>
      <c r="AG24" s="121" t="s">
        <v>165</v>
      </c>
      <c r="AH24" s="121" t="str">
        <f t="shared" si="6"/>
        <v>6 tháng/lần</v>
      </c>
      <c r="AI24" s="121" cm="1">
        <f t="array" ref="AI24">_xlfn.IFS(AH24="Quý",3,LEFT(AH24,1)="6",6,AH24="Năm",12,AH24="Cuối kỳ",1)</f>
        <v>6</v>
      </c>
      <c r="AJ24" s="124">
        <f t="shared" si="28"/>
        <v>45107</v>
      </c>
      <c r="AK24" s="174">
        <f>SUMIFS('Mua bán - filtered'!N:N,'Mua bán - filtered'!A:A,'Fair value 31.12.2023'!B24)</f>
        <v>3801369863.0136995</v>
      </c>
      <c r="AL24" s="152">
        <f t="shared" si="61"/>
        <v>12</v>
      </c>
      <c r="AM24" s="126">
        <f t="shared" si="8"/>
        <v>0</v>
      </c>
      <c r="AN24" s="126"/>
      <c r="AO24" s="151">
        <v>45107</v>
      </c>
      <c r="AP24" s="138">
        <v>45291</v>
      </c>
      <c r="AQ24" s="124">
        <v>45294</v>
      </c>
      <c r="AR24" s="124">
        <v>45473</v>
      </c>
      <c r="AS24" s="124">
        <f t="shared" ref="AS24" si="64">EDATE(AR24,6)</f>
        <v>45656</v>
      </c>
      <c r="AT24" s="124">
        <f t="shared" ref="AT24" si="65">EDATE(AS24,6)</f>
        <v>45838</v>
      </c>
      <c r="AU24" s="124">
        <f t="shared" ref="AU24" si="66">EDATE(AT24,6)</f>
        <v>46021</v>
      </c>
      <c r="AV24" s="124">
        <f t="shared" ref="AV24" si="67">EDATE(AU24,6)</f>
        <v>46203</v>
      </c>
      <c r="AW24" s="124">
        <f t="shared" ref="AW24" si="68">EDATE(AV24,6)</f>
        <v>46386</v>
      </c>
      <c r="AX24" s="124">
        <f t="shared" ref="AX24" si="69">EDATE(AW24,6)</f>
        <v>46568</v>
      </c>
      <c r="AY24" s="124">
        <f t="shared" ref="AY24" si="70">EDATE(AX24,6)</f>
        <v>46751</v>
      </c>
      <c r="AZ24" s="124">
        <f t="shared" ref="AZ24" si="71">EDATE(AY24,6)</f>
        <v>46934</v>
      </c>
      <c r="BA24" s="124">
        <f t="shared" ref="BA24" si="72">EDATE(AZ24,6)</f>
        <v>47117</v>
      </c>
      <c r="BB24" s="124">
        <f t="shared" ref="BB24" si="73">EDATE(BA24,6)</f>
        <v>47299</v>
      </c>
      <c r="BC24" s="124"/>
      <c r="BD24" s="124"/>
      <c r="BE24" s="124"/>
      <c r="BF24" s="124"/>
      <c r="BG24" s="124"/>
      <c r="BH24" s="124"/>
      <c r="BI24" s="124"/>
      <c r="BJ24" s="124"/>
      <c r="BK24" s="124"/>
      <c r="BL24" s="124"/>
      <c r="BM24" s="124"/>
      <c r="CG24" s="137">
        <f t="shared" si="51"/>
        <v>0</v>
      </c>
      <c r="CI24" s="160">
        <v>-100000000000</v>
      </c>
      <c r="CJ24" s="251">
        <v>0</v>
      </c>
      <c r="CK24" s="251">
        <v>4863287671</v>
      </c>
      <c r="CL24" s="252">
        <f t="shared" ref="CL24:CU24" si="74">$R$24*$AF$24/2</f>
        <v>3750000000.0000005</v>
      </c>
      <c r="CM24" s="252">
        <f t="shared" si="74"/>
        <v>3750000000.0000005</v>
      </c>
      <c r="CN24" s="252">
        <f t="shared" si="74"/>
        <v>3750000000.0000005</v>
      </c>
      <c r="CO24" s="252">
        <f t="shared" si="74"/>
        <v>3750000000.0000005</v>
      </c>
      <c r="CP24" s="252">
        <f t="shared" si="74"/>
        <v>3750000000.0000005</v>
      </c>
      <c r="CQ24" s="252">
        <f t="shared" si="74"/>
        <v>3750000000.0000005</v>
      </c>
      <c r="CR24" s="252">
        <f t="shared" si="74"/>
        <v>3750000000.0000005</v>
      </c>
      <c r="CS24" s="252">
        <f t="shared" si="74"/>
        <v>3750000000.0000005</v>
      </c>
      <c r="CT24" s="252">
        <f t="shared" si="74"/>
        <v>3750000000.0000005</v>
      </c>
      <c r="CU24" s="252">
        <f t="shared" si="74"/>
        <v>3750000000.0000005</v>
      </c>
      <c r="CV24" s="239">
        <v>103750000000</v>
      </c>
      <c r="DN24" s="325"/>
      <c r="DO24" s="152"/>
      <c r="EA24" s="128">
        <f t="shared" si="10"/>
        <v>3.6695629358291654E-3</v>
      </c>
      <c r="EB24" s="248">
        <f t="shared" si="11"/>
        <v>7.8669562935829176E-2</v>
      </c>
      <c r="EC24" s="250"/>
      <c r="ED24" s="160">
        <f t="shared" si="12"/>
        <v>100000000000</v>
      </c>
      <c r="EE24" s="135">
        <f t="shared" si="31"/>
        <v>103891345308.91502</v>
      </c>
      <c r="EF24" s="135">
        <f t="shared" si="31"/>
        <v>99092742354.693359</v>
      </c>
      <c r="EG24" s="135">
        <f t="shared" si="31"/>
        <v>99092041987.76004</v>
      </c>
      <c r="EH24" s="135">
        <f t="shared" si="31"/>
        <v>99176698577.131622</v>
      </c>
      <c r="EI24" s="135">
        <f t="shared" si="31"/>
        <v>99243260451.615021</v>
      </c>
      <c r="EJ24" s="135">
        <f t="shared" si="31"/>
        <v>99333768882.034821</v>
      </c>
      <c r="EK24" s="135">
        <f t="shared" si="31"/>
        <v>99406375205.929306</v>
      </c>
      <c r="EL24" s="135">
        <f t="shared" si="31"/>
        <v>99503195839.174957</v>
      </c>
      <c r="EM24" s="135">
        <f t="shared" si="31"/>
        <v>99582322126.673874</v>
      </c>
      <c r="EN24" s="135">
        <f t="shared" si="31"/>
        <v>99685951540.982864</v>
      </c>
      <c r="EO24" s="135">
        <f t="shared" si="31"/>
        <v>99793591198.783264</v>
      </c>
      <c r="EP24" s="135">
        <f t="shared" si="31"/>
        <v>99905396288.18425</v>
      </c>
      <c r="EQ24" s="135">
        <f t="shared" si="31"/>
        <v>232.44741821289063</v>
      </c>
      <c r="ER24" s="135">
        <f t="shared" si="31"/>
        <v>1.2718487321869207E-2</v>
      </c>
      <c r="ES24" s="135">
        <f t="shared" si="31"/>
        <v>1.2718487321869207E-2</v>
      </c>
      <c r="ET24" s="135">
        <f t="shared" si="31"/>
        <v>1.2718487321869207E-2</v>
      </c>
      <c r="EU24" s="135">
        <f t="shared" si="56"/>
        <v>1.2718487321869207E-2</v>
      </c>
      <c r="EV24" s="135">
        <f t="shared" si="56"/>
        <v>1.2718487321869207E-2</v>
      </c>
      <c r="EW24" s="135">
        <f t="shared" si="56"/>
        <v>1.2718487321869207E-2</v>
      </c>
      <c r="EX24" s="135">
        <f t="shared" si="56"/>
        <v>1.2718487321869207E-2</v>
      </c>
      <c r="EY24" s="135">
        <f t="shared" si="56"/>
        <v>1.2718487321869207E-2</v>
      </c>
      <c r="EZ24" s="135">
        <f t="shared" si="56"/>
        <v>1.2718487321869207E-2</v>
      </c>
      <c r="FA24" s="135">
        <f t="shared" si="56"/>
        <v>1.2718487321869207E-2</v>
      </c>
      <c r="FB24" s="135">
        <f t="shared" si="56"/>
        <v>1.2718487321869207E-2</v>
      </c>
      <c r="FC24" s="135">
        <f t="shared" si="56"/>
        <v>1.2718487321869207E-2</v>
      </c>
      <c r="FD24" s="135">
        <f t="shared" si="56"/>
        <v>1.2718487321869207E-2</v>
      </c>
      <c r="FE24" s="135">
        <f t="shared" si="56"/>
        <v>1.2718487321869207E-2</v>
      </c>
      <c r="FF24" s="135">
        <f t="shared" si="56"/>
        <v>1.2718487321869207E-2</v>
      </c>
      <c r="FG24" s="135">
        <f t="shared" si="56"/>
        <v>1.2718487321869207E-2</v>
      </c>
      <c r="FH24" s="135">
        <f t="shared" si="56"/>
        <v>1.2718487321869207E-2</v>
      </c>
      <c r="FI24" s="135">
        <f t="shared" si="56"/>
        <v>1.2718487321869207E-2</v>
      </c>
      <c r="FJ24" s="135">
        <f t="shared" si="56"/>
        <v>1.2718487321869207E-2</v>
      </c>
      <c r="FK24" s="135">
        <f t="shared" si="57"/>
        <v>1.2718487321869207E-2</v>
      </c>
      <c r="FL24" s="135">
        <f t="shared" si="57"/>
        <v>1.2718487321869207E-2</v>
      </c>
      <c r="FM24" s="135">
        <f t="shared" si="57"/>
        <v>1.2718487321869207E-2</v>
      </c>
      <c r="FN24" s="135">
        <f t="shared" si="57"/>
        <v>1.2718487321869207E-2</v>
      </c>
      <c r="FO24" s="135">
        <f t="shared" si="57"/>
        <v>1.2718487321869207E-2</v>
      </c>
      <c r="FP24" s="135">
        <f t="shared" si="57"/>
        <v>1.2718487321869207E-2</v>
      </c>
      <c r="FQ24" s="135">
        <f t="shared" si="57"/>
        <v>1.2718487321869207E-2</v>
      </c>
      <c r="FR24" s="135">
        <f t="shared" si="57"/>
        <v>1.2718487321869207E-2</v>
      </c>
      <c r="FS24" s="135">
        <f t="shared" si="57"/>
        <v>1.2718487321869207E-2</v>
      </c>
      <c r="FT24" s="135">
        <f t="shared" si="57"/>
        <v>1.2718487321869207E-2</v>
      </c>
      <c r="FU24" s="137">
        <f t="shared" si="57"/>
        <v>1.2718487321869207E-2</v>
      </c>
      <c r="FW24" s="134">
        <f t="shared" si="24"/>
        <v>22</v>
      </c>
      <c r="FX24" s="164">
        <v>0</v>
      </c>
      <c r="FY24" s="124">
        <f>HLOOKUP(FX24,$AO$2:CG24,FW24+1,0)</f>
        <v>45107</v>
      </c>
      <c r="FZ24" s="135">
        <f>HLOOKUP(FX24,$ED$2:FU24,FW24+1,0)</f>
        <v>100000000000</v>
      </c>
      <c r="GA24" s="180">
        <f>FZ24*(1+AF24)^(($FZ$1-FY24)/365)</f>
        <v>103713026548.22363</v>
      </c>
      <c r="GB24" s="334">
        <f t="shared" si="15"/>
        <v>103801369863.0137</v>
      </c>
      <c r="GC24" s="181">
        <f t="shared" si="21"/>
        <v>88343314.79006958</v>
      </c>
      <c r="GD24" s="165">
        <f t="shared" si="16"/>
        <v>0</v>
      </c>
    </row>
    <row r="25" spans="1:186">
      <c r="A25" s="134" t="s">
        <v>83</v>
      </c>
      <c r="B25" s="121" t="s">
        <v>38</v>
      </c>
      <c r="C25" s="121" t="s">
        <v>154</v>
      </c>
      <c r="D25" s="121" t="str">
        <f>VLOOKUP(B25,'NTFS - Supporting'!B:C,2,0)</f>
        <v>CI</v>
      </c>
      <c r="G25" s="128">
        <v>8.8999999999999996E-2</v>
      </c>
      <c r="H25" s="128">
        <v>4.9000000000000002E-2</v>
      </c>
      <c r="I25" s="128">
        <f t="shared" ref="I25:I29" si="75">S25-G25+H25</f>
        <v>6.8000000000000005E-2</v>
      </c>
      <c r="J25" s="140">
        <f>XNPV(I25,CJ25:CK25,AP25:AQ25)</f>
        <v>10660765630.653011</v>
      </c>
      <c r="K25" s="140">
        <v>10433404324.245785</v>
      </c>
      <c r="L25" s="141">
        <f t="shared" si="23"/>
        <v>227361306.40722656</v>
      </c>
      <c r="M25" s="121" t="s">
        <v>38</v>
      </c>
      <c r="N25" s="3" t="s">
        <v>31</v>
      </c>
      <c r="O25" s="121">
        <v>10</v>
      </c>
      <c r="P25" s="135">
        <v>10000000000</v>
      </c>
      <c r="Q25" s="135">
        <v>1000000000</v>
      </c>
      <c r="R25" s="135">
        <f t="shared" si="55"/>
        <v>10000000000</v>
      </c>
      <c r="S25" s="136">
        <v>0.108</v>
      </c>
      <c r="T25" s="136"/>
      <c r="U25" s="124">
        <v>45140</v>
      </c>
      <c r="V25" s="124">
        <v>45505</v>
      </c>
      <c r="W25" s="69" t="s">
        <v>161</v>
      </c>
      <c r="X25" s="124">
        <v>45140</v>
      </c>
      <c r="Y25" s="124">
        <f t="shared" si="63"/>
        <v>45140</v>
      </c>
      <c r="Z25" s="137">
        <f>SUMIFS('Mua bán - filtered'!N:N,'Mua bán - filtered'!A:A,B25)</f>
        <v>449753424.65753424</v>
      </c>
      <c r="AD25" s="151">
        <f t="shared" si="5"/>
        <v>45140</v>
      </c>
      <c r="AE25" s="124">
        <f t="shared" si="5"/>
        <v>45505</v>
      </c>
      <c r="AF25" s="128">
        <f t="shared" si="27"/>
        <v>0.108</v>
      </c>
      <c r="AG25" s="121" t="s">
        <v>155</v>
      </c>
      <c r="AH25" s="121" t="str">
        <f t="shared" si="6"/>
        <v>Cuối kỳ</v>
      </c>
      <c r="AI25" s="121" cm="1">
        <f t="array" ref="AI25">_xlfn.IFS(AH25="Quý",3,LEFT(AH25,1)="6",6,AH25="Năm",12,AH25="Cuối kỳ",1)</f>
        <v>1</v>
      </c>
      <c r="AJ25" s="124">
        <f t="shared" si="28"/>
        <v>45140</v>
      </c>
      <c r="AK25" s="174">
        <f>SUMIFS('Mua bán - filtered'!N:N,'Mua bán - filtered'!A:A,'Fair value 31.12.2023'!B25)</f>
        <v>449753424.65753424</v>
      </c>
      <c r="AL25" s="152">
        <f t="shared" si="61"/>
        <v>1</v>
      </c>
      <c r="AM25" s="126">
        <f t="shared" si="8"/>
        <v>0</v>
      </c>
      <c r="AN25" s="126"/>
      <c r="AO25" s="151">
        <v>45140</v>
      </c>
      <c r="AP25" s="138">
        <v>45291</v>
      </c>
      <c r="AQ25" s="124">
        <v>45505</v>
      </c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D25" s="124"/>
      <c r="BE25" s="124"/>
      <c r="BF25" s="124"/>
      <c r="BG25" s="124"/>
      <c r="BH25" s="124"/>
      <c r="BI25" s="124"/>
      <c r="BJ25" s="124"/>
      <c r="BK25" s="124"/>
      <c r="BL25" s="124"/>
      <c r="BM25" s="124"/>
      <c r="CG25" s="137">
        <f t="shared" si="51"/>
        <v>0</v>
      </c>
      <c r="CI25" s="160">
        <v>-10000000000</v>
      </c>
      <c r="CJ25" s="126">
        <v>0</v>
      </c>
      <c r="CK25" s="126">
        <f>R25+R25*AF25*(V25-U25)/365</f>
        <v>11080000000</v>
      </c>
      <c r="DN25" s="325"/>
      <c r="DO25" s="152"/>
      <c r="EA25" s="128">
        <f t="shared" si="10"/>
        <v>-1.6689300635919224E-9</v>
      </c>
      <c r="EB25" s="248">
        <f t="shared" si="11"/>
        <v>0.10799999833106994</v>
      </c>
      <c r="EC25" s="250"/>
      <c r="ED25" s="160">
        <f t="shared" si="12"/>
        <v>10000000000</v>
      </c>
      <c r="EE25" s="135">
        <f t="shared" ref="EE25:ET29" si="76">ED25*(1+$EB25)^((AP25-AO25)/365)-CJ25</f>
        <v>10433404317.744362</v>
      </c>
      <c r="EF25" s="135">
        <f t="shared" si="76"/>
        <v>-16.689300537109375</v>
      </c>
      <c r="EG25" s="135">
        <f t="shared" si="76"/>
        <v>-4.6731678133156817E-5</v>
      </c>
      <c r="EH25" s="135">
        <f t="shared" si="76"/>
        <v>-4.6731678133156817E-5</v>
      </c>
      <c r="EI25" s="135">
        <f t="shared" si="76"/>
        <v>-4.6731678133156817E-5</v>
      </c>
      <c r="EJ25" s="135">
        <f t="shared" si="76"/>
        <v>-4.6731678133156817E-5</v>
      </c>
      <c r="EK25" s="135">
        <f t="shared" si="76"/>
        <v>-4.6731678133156817E-5</v>
      </c>
      <c r="EL25" s="135">
        <f t="shared" si="76"/>
        <v>-4.6731678133156817E-5</v>
      </c>
      <c r="EM25" s="135">
        <f t="shared" si="76"/>
        <v>-4.6731678133156817E-5</v>
      </c>
      <c r="EN25" s="135">
        <f t="shared" si="76"/>
        <v>-4.6731678133156817E-5</v>
      </c>
      <c r="EO25" s="135">
        <f t="shared" si="76"/>
        <v>-4.6731678133156817E-5</v>
      </c>
      <c r="EP25" s="135">
        <f t="shared" si="76"/>
        <v>-4.6731678133156817E-5</v>
      </c>
      <c r="EQ25" s="135">
        <f t="shared" si="76"/>
        <v>-4.6731678133156817E-5</v>
      </c>
      <c r="ER25" s="135">
        <f t="shared" si="76"/>
        <v>-4.6731678133156817E-5</v>
      </c>
      <c r="ES25" s="135">
        <f t="shared" si="76"/>
        <v>-4.6731678133156817E-5</v>
      </c>
      <c r="ET25" s="135">
        <f t="shared" si="76"/>
        <v>-4.6731678133156817E-5</v>
      </c>
      <c r="EU25" s="135">
        <f t="shared" si="56"/>
        <v>-4.6731678133156817E-5</v>
      </c>
      <c r="EV25" s="135">
        <f t="shared" si="56"/>
        <v>-4.6731678133156817E-5</v>
      </c>
      <c r="EW25" s="135">
        <f t="shared" si="56"/>
        <v>-4.6731678133156817E-5</v>
      </c>
      <c r="EX25" s="135">
        <f t="shared" si="56"/>
        <v>-4.6731678133156817E-5</v>
      </c>
      <c r="EY25" s="135">
        <f t="shared" si="56"/>
        <v>-4.6731678133156817E-5</v>
      </c>
      <c r="EZ25" s="135">
        <f t="shared" si="56"/>
        <v>-4.6731678133156817E-5</v>
      </c>
      <c r="FA25" s="135">
        <f t="shared" si="56"/>
        <v>-4.6731678133156817E-5</v>
      </c>
      <c r="FB25" s="135">
        <f t="shared" si="56"/>
        <v>-4.6731678133156817E-5</v>
      </c>
      <c r="FC25" s="135">
        <f t="shared" si="56"/>
        <v>-4.6731678133156817E-5</v>
      </c>
      <c r="FD25" s="135">
        <f t="shared" si="56"/>
        <v>-4.6731678133156817E-5</v>
      </c>
      <c r="FE25" s="135">
        <f t="shared" si="56"/>
        <v>-4.6731678133156817E-5</v>
      </c>
      <c r="FF25" s="135">
        <f t="shared" si="56"/>
        <v>-4.6731678133156817E-5</v>
      </c>
      <c r="FG25" s="135">
        <f t="shared" si="56"/>
        <v>-4.6731678133156817E-5</v>
      </c>
      <c r="FH25" s="135">
        <f t="shared" si="56"/>
        <v>-4.6731678133156817E-5</v>
      </c>
      <c r="FI25" s="135">
        <f t="shared" si="56"/>
        <v>-4.6731678133156817E-5</v>
      </c>
      <c r="FJ25" s="135">
        <f t="shared" si="56"/>
        <v>-4.6731678133156817E-5</v>
      </c>
      <c r="FK25" s="135">
        <f t="shared" si="57"/>
        <v>-4.6731678133156817E-5</v>
      </c>
      <c r="FL25" s="135">
        <f t="shared" si="57"/>
        <v>-4.6731678133156817E-5</v>
      </c>
      <c r="FM25" s="135">
        <f t="shared" si="57"/>
        <v>-4.6731678133156817E-5</v>
      </c>
      <c r="FN25" s="135">
        <f t="shared" si="57"/>
        <v>-4.6731678133156817E-5</v>
      </c>
      <c r="FO25" s="135">
        <f t="shared" si="57"/>
        <v>-4.6731678133156817E-5</v>
      </c>
      <c r="FP25" s="135">
        <f t="shared" si="57"/>
        <v>-4.6731678133156817E-5</v>
      </c>
      <c r="FQ25" s="135">
        <f t="shared" si="57"/>
        <v>-4.6731678133156817E-5</v>
      </c>
      <c r="FR25" s="135">
        <f t="shared" si="57"/>
        <v>-4.6731678133156817E-5</v>
      </c>
      <c r="FS25" s="135">
        <f t="shared" si="57"/>
        <v>-4.6731678133156817E-5</v>
      </c>
      <c r="FT25" s="135">
        <f t="shared" si="57"/>
        <v>-4.6731678133156817E-5</v>
      </c>
      <c r="FU25" s="137">
        <f t="shared" si="57"/>
        <v>-4.6731678133156817E-5</v>
      </c>
      <c r="FW25" s="134">
        <f t="shared" si="24"/>
        <v>23</v>
      </c>
      <c r="FX25" s="164">
        <v>0</v>
      </c>
      <c r="FY25" s="124">
        <f>HLOOKUP(FX25,$AO$2:CG25,FW25+1,0)</f>
        <v>45140</v>
      </c>
      <c r="FZ25" s="135">
        <f>HLOOKUP(FX25,$ED$2:FU25,FW25+1,0)</f>
        <v>10000000000</v>
      </c>
      <c r="GA25" s="180">
        <f t="shared" si="14"/>
        <v>10433404324.245785</v>
      </c>
      <c r="GB25" s="334">
        <f t="shared" si="15"/>
        <v>10449753424.657534</v>
      </c>
      <c r="GC25" s="181">
        <f t="shared" si="21"/>
        <v>16349100.411748886</v>
      </c>
      <c r="GD25" s="165">
        <f t="shared" si="16"/>
        <v>0</v>
      </c>
    </row>
    <row r="26" spans="1:186">
      <c r="A26" s="134" t="s">
        <v>83</v>
      </c>
      <c r="B26" s="121" t="s">
        <v>39</v>
      </c>
      <c r="C26" s="121" t="s">
        <v>154</v>
      </c>
      <c r="D26" s="121" t="str">
        <f>VLOOKUP(B26,'NTFS - Supporting'!B:C,2,0)</f>
        <v>CI</v>
      </c>
      <c r="G26" s="128">
        <v>8.8999999999999996E-2</v>
      </c>
      <c r="H26" s="128">
        <v>4.9000000000000002E-2</v>
      </c>
      <c r="I26" s="128">
        <f t="shared" si="75"/>
        <v>6.8000000000000005E-2</v>
      </c>
      <c r="J26" s="140">
        <f t="shared" ref="J26:J28" si="77">XNPV(I26,CJ26:CK26,AP26:AQ26)</f>
        <v>10620490390.055153</v>
      </c>
      <c r="K26" s="140">
        <v>10372023123.140816</v>
      </c>
      <c r="L26" s="141">
        <f t="shared" si="23"/>
        <v>248467266.91433716</v>
      </c>
      <c r="M26" s="121" t="s">
        <v>39</v>
      </c>
      <c r="N26" s="3" t="s">
        <v>31</v>
      </c>
      <c r="O26" s="135">
        <v>10</v>
      </c>
      <c r="P26" s="135">
        <v>10000000000</v>
      </c>
      <c r="Q26" s="135">
        <v>1000000000</v>
      </c>
      <c r="R26" s="135">
        <f t="shared" si="55"/>
        <v>10000000000</v>
      </c>
      <c r="S26" s="136">
        <v>0.108</v>
      </c>
      <c r="T26" s="136"/>
      <c r="U26" s="124">
        <v>45161</v>
      </c>
      <c r="V26" s="124">
        <v>45526</v>
      </c>
      <c r="W26" s="69" t="s">
        <v>161</v>
      </c>
      <c r="X26" s="124">
        <v>45161</v>
      </c>
      <c r="Y26" s="124">
        <f t="shared" si="63"/>
        <v>45161</v>
      </c>
      <c r="Z26" s="137">
        <f>SUMIFS('Mua bán - filtered'!N:N,'Mua bán - filtered'!A:A,B26)</f>
        <v>387616438.3561644</v>
      </c>
      <c r="AD26" s="151">
        <f t="shared" si="5"/>
        <v>45161</v>
      </c>
      <c r="AE26" s="124">
        <f t="shared" si="5"/>
        <v>45526</v>
      </c>
      <c r="AF26" s="128">
        <f t="shared" si="27"/>
        <v>0.108</v>
      </c>
      <c r="AG26" s="121" t="s">
        <v>155</v>
      </c>
      <c r="AH26" s="121" t="str">
        <f t="shared" si="6"/>
        <v>Cuối kỳ</v>
      </c>
      <c r="AI26" s="121" cm="1">
        <f t="array" ref="AI26">_xlfn.IFS(AH26="Quý",3,LEFT(AH26,1)="6",6,AH26="Năm",12,AH26="Cuối kỳ",1)</f>
        <v>1</v>
      </c>
      <c r="AJ26" s="124">
        <f t="shared" si="28"/>
        <v>45161</v>
      </c>
      <c r="AK26" s="174">
        <f>SUMIFS('Mua bán - filtered'!N:N,'Mua bán - filtered'!A:A,'Fair value 31.12.2023'!B26)</f>
        <v>387616438.3561644</v>
      </c>
      <c r="AL26" s="152">
        <f t="shared" si="61"/>
        <v>1</v>
      </c>
      <c r="AM26" s="126">
        <f t="shared" si="8"/>
        <v>0</v>
      </c>
      <c r="AN26" s="126"/>
      <c r="AO26" s="151">
        <v>45161</v>
      </c>
      <c r="AP26" s="138">
        <v>45291</v>
      </c>
      <c r="AQ26" s="124">
        <v>45526</v>
      </c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D26" s="124"/>
      <c r="BE26" s="124"/>
      <c r="BF26" s="124"/>
      <c r="BG26" s="124"/>
      <c r="BH26" s="124"/>
      <c r="BI26" s="124"/>
      <c r="BJ26" s="124"/>
      <c r="BK26" s="124"/>
      <c r="BL26" s="124"/>
      <c r="BM26" s="124"/>
      <c r="CG26" s="137">
        <f t="shared" si="51"/>
        <v>0</v>
      </c>
      <c r="CI26" s="160">
        <v>-10000000000</v>
      </c>
      <c r="CJ26" s="126">
        <v>0</v>
      </c>
      <c r="CK26" s="126">
        <f>R26+R26*AF26*(V26-U26)/365</f>
        <v>11080000000</v>
      </c>
      <c r="DN26" s="325"/>
      <c r="DO26" s="152"/>
      <c r="EA26" s="128">
        <f t="shared" si="10"/>
        <v>-1.6689300635919224E-9</v>
      </c>
      <c r="EB26" s="248">
        <f t="shared" si="11"/>
        <v>0.10799999833106994</v>
      </c>
      <c r="EC26" s="250"/>
      <c r="ED26" s="160">
        <f t="shared" si="12"/>
        <v>10000000000</v>
      </c>
      <c r="EE26" s="135">
        <f t="shared" si="76"/>
        <v>10372023117.576492</v>
      </c>
      <c r="EF26" s="135">
        <f t="shared" si="76"/>
        <v>-16.689300537109375</v>
      </c>
      <c r="EG26" s="135">
        <f t="shared" si="76"/>
        <v>-4.6456749030218347E-5</v>
      </c>
      <c r="EH26" s="135">
        <f t="shared" si="76"/>
        <v>-4.6456749030218347E-5</v>
      </c>
      <c r="EI26" s="135">
        <f t="shared" si="76"/>
        <v>-4.6456749030218347E-5</v>
      </c>
      <c r="EJ26" s="135">
        <f t="shared" si="76"/>
        <v>-4.6456749030218347E-5</v>
      </c>
      <c r="EK26" s="135">
        <f t="shared" si="76"/>
        <v>-4.6456749030218347E-5</v>
      </c>
      <c r="EL26" s="135">
        <f t="shared" si="76"/>
        <v>-4.6456749030218347E-5</v>
      </c>
      <c r="EM26" s="135">
        <f t="shared" si="76"/>
        <v>-4.6456749030218347E-5</v>
      </c>
      <c r="EN26" s="135">
        <f t="shared" si="76"/>
        <v>-4.6456749030218347E-5</v>
      </c>
      <c r="EO26" s="135">
        <f t="shared" si="76"/>
        <v>-4.6456749030218347E-5</v>
      </c>
      <c r="EP26" s="135">
        <f t="shared" si="76"/>
        <v>-4.6456749030218347E-5</v>
      </c>
      <c r="EQ26" s="135">
        <f t="shared" si="76"/>
        <v>-4.6456749030218347E-5</v>
      </c>
      <c r="ER26" s="135">
        <f t="shared" si="76"/>
        <v>-4.6456749030218347E-5</v>
      </c>
      <c r="ES26" s="135">
        <f t="shared" si="76"/>
        <v>-4.6456749030218347E-5</v>
      </c>
      <c r="ET26" s="135">
        <f t="shared" si="76"/>
        <v>-4.6456749030218347E-5</v>
      </c>
      <c r="EU26" s="135">
        <f t="shared" si="56"/>
        <v>-4.6456749030218347E-5</v>
      </c>
      <c r="EV26" s="135">
        <f t="shared" si="56"/>
        <v>-4.6456749030218347E-5</v>
      </c>
      <c r="EW26" s="135">
        <f t="shared" si="56"/>
        <v>-4.6456749030218347E-5</v>
      </c>
      <c r="EX26" s="135">
        <f t="shared" si="56"/>
        <v>-4.6456749030218347E-5</v>
      </c>
      <c r="EY26" s="135">
        <f t="shared" si="56"/>
        <v>-4.6456749030218347E-5</v>
      </c>
      <c r="EZ26" s="135">
        <f t="shared" si="56"/>
        <v>-4.6456749030218347E-5</v>
      </c>
      <c r="FA26" s="135">
        <f t="shared" si="56"/>
        <v>-4.6456749030218347E-5</v>
      </c>
      <c r="FB26" s="135">
        <f t="shared" si="56"/>
        <v>-4.6456749030218347E-5</v>
      </c>
      <c r="FC26" s="135">
        <f t="shared" si="56"/>
        <v>-4.6456749030218347E-5</v>
      </c>
      <c r="FD26" s="135">
        <f t="shared" si="56"/>
        <v>-4.6456749030218347E-5</v>
      </c>
      <c r="FE26" s="135">
        <f t="shared" si="56"/>
        <v>-4.6456749030218347E-5</v>
      </c>
      <c r="FF26" s="135">
        <f t="shared" si="56"/>
        <v>-4.6456749030218347E-5</v>
      </c>
      <c r="FG26" s="135">
        <f t="shared" si="56"/>
        <v>-4.6456749030218347E-5</v>
      </c>
      <c r="FH26" s="135">
        <f t="shared" si="56"/>
        <v>-4.6456749030218347E-5</v>
      </c>
      <c r="FI26" s="135">
        <f t="shared" si="56"/>
        <v>-4.6456749030218347E-5</v>
      </c>
      <c r="FJ26" s="135">
        <f t="shared" si="56"/>
        <v>-4.6456749030218347E-5</v>
      </c>
      <c r="FK26" s="135">
        <f t="shared" si="57"/>
        <v>-4.6456749030218347E-5</v>
      </c>
      <c r="FL26" s="135">
        <f t="shared" si="57"/>
        <v>-4.6456749030218347E-5</v>
      </c>
      <c r="FM26" s="135">
        <f t="shared" si="57"/>
        <v>-4.6456749030218347E-5</v>
      </c>
      <c r="FN26" s="135">
        <f t="shared" si="57"/>
        <v>-4.6456749030218347E-5</v>
      </c>
      <c r="FO26" s="135">
        <f t="shared" si="57"/>
        <v>-4.6456749030218347E-5</v>
      </c>
      <c r="FP26" s="135">
        <f t="shared" si="57"/>
        <v>-4.6456749030218347E-5</v>
      </c>
      <c r="FQ26" s="135">
        <f t="shared" si="57"/>
        <v>-4.6456749030218347E-5</v>
      </c>
      <c r="FR26" s="135">
        <f t="shared" si="57"/>
        <v>-4.6456749030218347E-5</v>
      </c>
      <c r="FS26" s="135">
        <f t="shared" si="57"/>
        <v>-4.6456749030218347E-5</v>
      </c>
      <c r="FT26" s="135">
        <f t="shared" si="57"/>
        <v>-4.6456749030218347E-5</v>
      </c>
      <c r="FU26" s="137">
        <f t="shared" si="57"/>
        <v>-4.6456749030218347E-5</v>
      </c>
      <c r="FW26" s="134">
        <f t="shared" si="24"/>
        <v>24</v>
      </c>
      <c r="FX26" s="164">
        <v>0</v>
      </c>
      <c r="FY26" s="124">
        <f>HLOOKUP(FX26,$AO$2:CG26,FW26+1,0)</f>
        <v>45161</v>
      </c>
      <c r="FZ26" s="135">
        <f>HLOOKUP(FX26,$ED$2:FU26,FW26+1,0)</f>
        <v>10000000000</v>
      </c>
      <c r="GA26" s="180">
        <f t="shared" si="14"/>
        <v>10372023123.140816</v>
      </c>
      <c r="GB26" s="334">
        <f t="shared" si="15"/>
        <v>10387616438.356165</v>
      </c>
      <c r="GC26" s="181">
        <f t="shared" si="21"/>
        <v>15593315.215349197</v>
      </c>
      <c r="GD26" s="165">
        <f t="shared" si="16"/>
        <v>0</v>
      </c>
    </row>
    <row r="27" spans="1:186">
      <c r="A27" s="134" t="s">
        <v>87</v>
      </c>
      <c r="B27" s="121" t="s">
        <v>93</v>
      </c>
      <c r="C27" s="121" t="s">
        <v>154</v>
      </c>
      <c r="D27" s="121" t="str">
        <f>VLOOKUP(B27,'NTFS - Supporting'!B:C,2,0)</f>
        <v>CI</v>
      </c>
      <c r="G27" s="128">
        <v>8.8999999999999996E-2</v>
      </c>
      <c r="H27" s="128">
        <v>4.9000000000000002E-2</v>
      </c>
      <c r="I27" s="128">
        <f t="shared" si="75"/>
        <v>6.8000000000000005E-2</v>
      </c>
      <c r="J27" s="140">
        <f t="shared" si="77"/>
        <v>37319405565.160095</v>
      </c>
      <c r="K27" s="140">
        <v>36556265966.258133</v>
      </c>
      <c r="L27" s="141">
        <f t="shared" si="23"/>
        <v>763139598.90196228</v>
      </c>
      <c r="M27" s="121" t="s">
        <v>93</v>
      </c>
      <c r="N27" s="143" t="s">
        <v>31</v>
      </c>
      <c r="O27" s="135">
        <v>35</v>
      </c>
      <c r="P27" s="135">
        <v>35683506845</v>
      </c>
      <c r="Q27" s="135">
        <v>1000000000</v>
      </c>
      <c r="R27" s="135">
        <f t="shared" si="55"/>
        <v>35000000000</v>
      </c>
      <c r="S27" s="136">
        <v>0.108</v>
      </c>
      <c r="T27" s="136"/>
      <c r="U27" s="124">
        <v>45139</v>
      </c>
      <c r="V27" s="124">
        <v>45504</v>
      </c>
      <c r="W27" s="69" t="s">
        <v>161</v>
      </c>
      <c r="X27" s="124">
        <v>45205</v>
      </c>
      <c r="Y27" s="124">
        <f t="shared" si="63"/>
        <v>45205</v>
      </c>
      <c r="Z27" s="137">
        <f t="shared" ref="Z27:Z29" si="78">R27*S27*($Y$1-Y27+1)/365</f>
        <v>900986301.36986303</v>
      </c>
      <c r="AD27" s="151">
        <f t="shared" si="5"/>
        <v>45139</v>
      </c>
      <c r="AE27" s="124">
        <f t="shared" si="5"/>
        <v>45504</v>
      </c>
      <c r="AF27" s="128">
        <f t="shared" si="27"/>
        <v>0.108</v>
      </c>
      <c r="AG27" s="121" t="s">
        <v>155</v>
      </c>
      <c r="AH27" s="121" t="str">
        <f t="shared" si="6"/>
        <v>Cuối kỳ</v>
      </c>
      <c r="AI27" s="121" cm="1">
        <f t="array" ref="AI27">_xlfn.IFS(AH27="Quý",3,LEFT(AH27,1)="6",6,AH27="Năm",12,AH27="Cuối kỳ",1)</f>
        <v>1</v>
      </c>
      <c r="AJ27" s="124">
        <f t="shared" si="28"/>
        <v>45205</v>
      </c>
      <c r="AK27" s="174">
        <f>R27*S27*($Y$1-Y27+1)/365</f>
        <v>900986301.36986303</v>
      </c>
      <c r="AL27" s="152">
        <f t="shared" si="61"/>
        <v>1</v>
      </c>
      <c r="AM27" s="126">
        <f t="shared" si="8"/>
        <v>0</v>
      </c>
      <c r="AN27" s="126"/>
      <c r="AO27" s="151">
        <v>45205</v>
      </c>
      <c r="AP27" s="138">
        <v>45291</v>
      </c>
      <c r="AQ27" s="124">
        <v>45504</v>
      </c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CG27" s="137">
        <f t="shared" si="51"/>
        <v>0</v>
      </c>
      <c r="CI27" s="160">
        <v>-35683506845</v>
      </c>
      <c r="CJ27" s="126">
        <v>0</v>
      </c>
      <c r="CK27" s="126">
        <f>R27+R27*S27*(V27-U27)/365</f>
        <v>38780000000</v>
      </c>
      <c r="DN27" s="325"/>
      <c r="DO27" s="152"/>
      <c r="EA27" s="128">
        <f t="shared" si="10"/>
        <v>-1.0761873722076459E-3</v>
      </c>
      <c r="EB27" s="248">
        <f t="shared" si="11"/>
        <v>0.10692381262779235</v>
      </c>
      <c r="EC27" s="250"/>
      <c r="ED27" s="160">
        <f t="shared" si="12"/>
        <v>35683506845</v>
      </c>
      <c r="EE27" s="135">
        <f t="shared" si="76"/>
        <v>36547896903.455254</v>
      </c>
      <c r="EF27" s="135">
        <f t="shared" si="76"/>
        <v>144.49327087402344</v>
      </c>
      <c r="EG27" s="135">
        <f t="shared" si="76"/>
        <v>4.5683215730335156E-4</v>
      </c>
      <c r="EH27" s="135">
        <f t="shared" si="76"/>
        <v>4.5683215730335156E-4</v>
      </c>
      <c r="EI27" s="135">
        <f t="shared" si="76"/>
        <v>4.5683215730335156E-4</v>
      </c>
      <c r="EJ27" s="135">
        <f t="shared" si="76"/>
        <v>4.5683215730335156E-4</v>
      </c>
      <c r="EK27" s="135">
        <f t="shared" si="76"/>
        <v>4.5683215730335156E-4</v>
      </c>
      <c r="EL27" s="135">
        <f t="shared" si="76"/>
        <v>4.5683215730335156E-4</v>
      </c>
      <c r="EM27" s="135">
        <f t="shared" si="76"/>
        <v>4.5683215730335156E-4</v>
      </c>
      <c r="EN27" s="135">
        <f t="shared" si="76"/>
        <v>4.5683215730335156E-4</v>
      </c>
      <c r="EO27" s="135">
        <f t="shared" si="76"/>
        <v>4.5683215730335156E-4</v>
      </c>
      <c r="EP27" s="135">
        <f t="shared" si="76"/>
        <v>4.5683215730335156E-4</v>
      </c>
      <c r="EQ27" s="135">
        <f t="shared" si="76"/>
        <v>4.5683215730335156E-4</v>
      </c>
      <c r="ER27" s="135">
        <f t="shared" si="76"/>
        <v>4.5683215730335156E-4</v>
      </c>
      <c r="ES27" s="135">
        <f t="shared" si="76"/>
        <v>4.5683215730335156E-4</v>
      </c>
      <c r="ET27" s="135">
        <f t="shared" si="76"/>
        <v>4.5683215730335156E-4</v>
      </c>
      <c r="EU27" s="135">
        <f t="shared" si="56"/>
        <v>4.5683215730335156E-4</v>
      </c>
      <c r="EV27" s="135">
        <f t="shared" si="56"/>
        <v>4.5683215730335156E-4</v>
      </c>
      <c r="EW27" s="135">
        <f t="shared" si="56"/>
        <v>4.5683215730335156E-4</v>
      </c>
      <c r="EX27" s="135">
        <f t="shared" si="56"/>
        <v>4.5683215730335156E-4</v>
      </c>
      <c r="EY27" s="135">
        <f t="shared" si="56"/>
        <v>4.5683215730335156E-4</v>
      </c>
      <c r="EZ27" s="135">
        <f t="shared" si="56"/>
        <v>4.5683215730335156E-4</v>
      </c>
      <c r="FA27" s="135">
        <f t="shared" si="56"/>
        <v>4.5683215730335156E-4</v>
      </c>
      <c r="FB27" s="135">
        <f t="shared" si="56"/>
        <v>4.5683215730335156E-4</v>
      </c>
      <c r="FC27" s="135">
        <f t="shared" si="56"/>
        <v>4.5683215730335156E-4</v>
      </c>
      <c r="FD27" s="135">
        <f t="shared" si="56"/>
        <v>4.5683215730335156E-4</v>
      </c>
      <c r="FE27" s="135">
        <f t="shared" si="56"/>
        <v>4.5683215730335156E-4</v>
      </c>
      <c r="FF27" s="135">
        <f t="shared" si="56"/>
        <v>4.5683215730335156E-4</v>
      </c>
      <c r="FG27" s="135">
        <f t="shared" si="56"/>
        <v>4.5683215730335156E-4</v>
      </c>
      <c r="FH27" s="135">
        <f t="shared" si="56"/>
        <v>4.5683215730335156E-4</v>
      </c>
      <c r="FI27" s="135">
        <f t="shared" si="56"/>
        <v>4.5683215730335156E-4</v>
      </c>
      <c r="FJ27" s="135">
        <f t="shared" si="56"/>
        <v>4.5683215730335156E-4</v>
      </c>
      <c r="FK27" s="135">
        <f t="shared" si="57"/>
        <v>4.5683215730335156E-4</v>
      </c>
      <c r="FL27" s="135">
        <f t="shared" si="57"/>
        <v>4.5683215730335156E-4</v>
      </c>
      <c r="FM27" s="135">
        <f t="shared" si="57"/>
        <v>4.5683215730335156E-4</v>
      </c>
      <c r="FN27" s="135">
        <f t="shared" si="57"/>
        <v>4.5683215730335156E-4</v>
      </c>
      <c r="FO27" s="135">
        <f t="shared" si="57"/>
        <v>4.5683215730335156E-4</v>
      </c>
      <c r="FP27" s="135">
        <f t="shared" si="57"/>
        <v>4.5683215730335156E-4</v>
      </c>
      <c r="FQ27" s="135">
        <f t="shared" si="57"/>
        <v>4.5683215730335156E-4</v>
      </c>
      <c r="FR27" s="135">
        <f t="shared" si="57"/>
        <v>4.5683215730335156E-4</v>
      </c>
      <c r="FS27" s="135">
        <f t="shared" si="57"/>
        <v>4.5683215730335156E-4</v>
      </c>
      <c r="FT27" s="135">
        <f t="shared" si="57"/>
        <v>4.5683215730335156E-4</v>
      </c>
      <c r="FU27" s="137">
        <f t="shared" si="57"/>
        <v>4.5683215730335156E-4</v>
      </c>
      <c r="FW27" s="134">
        <f t="shared" si="24"/>
        <v>25</v>
      </c>
      <c r="FX27" s="164">
        <v>0</v>
      </c>
      <c r="FY27" s="124">
        <f>HLOOKUP(FX27,$AO$2:CG27,FW27+1,0)</f>
        <v>45205</v>
      </c>
      <c r="FZ27" s="135">
        <f>HLOOKUP(FX27,$ED$2:FU27,FW27+1,0)</f>
        <v>35683506845</v>
      </c>
      <c r="GA27" s="180">
        <f t="shared" si="14"/>
        <v>36556265966.258133</v>
      </c>
      <c r="GB27" s="334">
        <f t="shared" si="15"/>
        <v>36584493146.369865</v>
      </c>
      <c r="GC27" s="181">
        <f t="shared" si="21"/>
        <v>28227180.111732483</v>
      </c>
      <c r="GD27" s="165">
        <f t="shared" si="16"/>
        <v>0</v>
      </c>
    </row>
    <row r="28" spans="1:186">
      <c r="A28" s="134" t="s">
        <v>87</v>
      </c>
      <c r="B28" s="121" t="s">
        <v>97</v>
      </c>
      <c r="C28" s="121" t="s">
        <v>154</v>
      </c>
      <c r="D28" s="121" t="str">
        <f>VLOOKUP(B28,'NTFS - Supporting'!B:C,2,0)</f>
        <v>CI</v>
      </c>
      <c r="G28" s="128">
        <v>8.8999999999999996E-2</v>
      </c>
      <c r="H28" s="128">
        <v>4.9000000000000002E-2</v>
      </c>
      <c r="I28" s="128">
        <f t="shared" si="75"/>
        <v>6.8000000000000005E-2</v>
      </c>
      <c r="J28" s="140">
        <f t="shared" si="77"/>
        <v>10651162455.992487</v>
      </c>
      <c r="K28" s="140">
        <v>10426459779.858599</v>
      </c>
      <c r="L28" s="141">
        <f t="shared" si="23"/>
        <v>224702676.13388824</v>
      </c>
      <c r="M28" s="121" t="s">
        <v>97</v>
      </c>
      <c r="N28" s="143" t="s">
        <v>31</v>
      </c>
      <c r="O28" s="135">
        <v>10</v>
      </c>
      <c r="P28" s="135">
        <v>10177534250</v>
      </c>
      <c r="Q28" s="135">
        <v>1000000000</v>
      </c>
      <c r="R28" s="135">
        <f t="shared" si="55"/>
        <v>10000000000</v>
      </c>
      <c r="S28" s="136">
        <v>0.108</v>
      </c>
      <c r="T28" s="136"/>
      <c r="U28" s="124">
        <v>45145</v>
      </c>
      <c r="V28" s="124">
        <v>45510</v>
      </c>
      <c r="W28" s="69" t="s">
        <v>161</v>
      </c>
      <c r="X28" s="124">
        <v>45205</v>
      </c>
      <c r="Y28" s="124">
        <f t="shared" si="63"/>
        <v>45205</v>
      </c>
      <c r="Z28" s="137">
        <f t="shared" si="78"/>
        <v>257424657.53424656</v>
      </c>
      <c r="AD28" s="151">
        <f t="shared" si="5"/>
        <v>45145</v>
      </c>
      <c r="AE28" s="124">
        <f t="shared" si="5"/>
        <v>45510</v>
      </c>
      <c r="AF28" s="128">
        <f t="shared" si="27"/>
        <v>0.108</v>
      </c>
      <c r="AG28" s="121" t="s">
        <v>155</v>
      </c>
      <c r="AH28" s="121" t="str">
        <f t="shared" si="6"/>
        <v>Cuối kỳ</v>
      </c>
      <c r="AI28" s="121" cm="1">
        <f t="array" ref="AI28">_xlfn.IFS(AH28="Quý",3,LEFT(AH28,1)="6",6,AH28="Năm",12,AH28="Cuối kỳ",1)</f>
        <v>1</v>
      </c>
      <c r="AJ28" s="124">
        <f t="shared" si="28"/>
        <v>45205</v>
      </c>
      <c r="AK28" s="174">
        <f>R28*S28*($Y$1-Y28+1)/365</f>
        <v>257424657.53424656</v>
      </c>
      <c r="AL28" s="152">
        <f t="shared" si="61"/>
        <v>1</v>
      </c>
      <c r="AM28" s="126">
        <f t="shared" si="8"/>
        <v>0</v>
      </c>
      <c r="AN28" s="126"/>
      <c r="AO28" s="151">
        <v>45205</v>
      </c>
      <c r="AP28" s="138">
        <v>45291</v>
      </c>
      <c r="AQ28" s="124">
        <v>45510</v>
      </c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D28" s="124"/>
      <c r="BE28" s="124"/>
      <c r="BF28" s="124"/>
      <c r="BG28" s="124"/>
      <c r="BH28" s="124"/>
      <c r="BI28" s="124"/>
      <c r="BJ28" s="124"/>
      <c r="BK28" s="124"/>
      <c r="BL28" s="124"/>
      <c r="BM28" s="124"/>
      <c r="CG28" s="137">
        <f t="shared" si="51"/>
        <v>0</v>
      </c>
      <c r="CI28" s="160">
        <v>-10177534250</v>
      </c>
      <c r="CJ28" s="126">
        <v>0</v>
      </c>
      <c r="CK28" s="126">
        <f>R28+R28*S28*(V28-U28)/365</f>
        <v>11080000000</v>
      </c>
      <c r="DN28" s="325"/>
      <c r="DO28" s="152"/>
      <c r="EA28" s="128">
        <f t="shared" si="10"/>
        <v>-9.7953248023986694E-4</v>
      </c>
      <c r="EB28" s="248">
        <f t="shared" si="11"/>
        <v>0.10702046751976013</v>
      </c>
      <c r="EC28" s="250"/>
      <c r="ED28" s="160">
        <f t="shared" si="12"/>
        <v>10177534250</v>
      </c>
      <c r="EE28" s="135">
        <f t="shared" si="76"/>
        <v>10424287237.112415</v>
      </c>
      <c r="EF28" s="135">
        <f t="shared" si="76"/>
        <v>-9.6665115356445313</v>
      </c>
      <c r="EG28" s="135">
        <f t="shared" si="76"/>
        <v>-3.0180435950801801E-5</v>
      </c>
      <c r="EH28" s="135">
        <f t="shared" si="76"/>
        <v>-3.0180435950801801E-5</v>
      </c>
      <c r="EI28" s="135">
        <f t="shared" si="76"/>
        <v>-3.0180435950801801E-5</v>
      </c>
      <c r="EJ28" s="135">
        <f t="shared" si="76"/>
        <v>-3.0180435950801801E-5</v>
      </c>
      <c r="EK28" s="135">
        <f t="shared" si="76"/>
        <v>-3.0180435950801801E-5</v>
      </c>
      <c r="EL28" s="135">
        <f t="shared" si="76"/>
        <v>-3.0180435950801801E-5</v>
      </c>
      <c r="EM28" s="135">
        <f t="shared" si="76"/>
        <v>-3.0180435950801801E-5</v>
      </c>
      <c r="EN28" s="135">
        <f t="shared" si="76"/>
        <v>-3.0180435950801801E-5</v>
      </c>
      <c r="EO28" s="135">
        <f t="shared" si="76"/>
        <v>-3.0180435950801801E-5</v>
      </c>
      <c r="EP28" s="135">
        <f t="shared" si="76"/>
        <v>-3.0180435950801801E-5</v>
      </c>
      <c r="EQ28" s="135">
        <f t="shared" si="76"/>
        <v>-3.0180435950801801E-5</v>
      </c>
      <c r="ER28" s="135">
        <f t="shared" si="76"/>
        <v>-3.0180435950801801E-5</v>
      </c>
      <c r="ES28" s="135">
        <f t="shared" si="76"/>
        <v>-3.0180435950801801E-5</v>
      </c>
      <c r="ET28" s="135">
        <f t="shared" si="76"/>
        <v>-3.0180435950801801E-5</v>
      </c>
      <c r="EU28" s="135">
        <f t="shared" si="56"/>
        <v>-3.0180435950801801E-5</v>
      </c>
      <c r="EV28" s="135">
        <f t="shared" si="56"/>
        <v>-3.0180435950801801E-5</v>
      </c>
      <c r="EW28" s="135">
        <f t="shared" si="56"/>
        <v>-3.0180435950801801E-5</v>
      </c>
      <c r="EX28" s="135">
        <f t="shared" si="56"/>
        <v>-3.0180435950801801E-5</v>
      </c>
      <c r="EY28" s="135">
        <f t="shared" si="56"/>
        <v>-3.0180435950801801E-5</v>
      </c>
      <c r="EZ28" s="135">
        <f t="shared" si="56"/>
        <v>-3.0180435950801801E-5</v>
      </c>
      <c r="FA28" s="135">
        <f t="shared" si="56"/>
        <v>-3.0180435950801801E-5</v>
      </c>
      <c r="FB28" s="135">
        <f t="shared" si="56"/>
        <v>-3.0180435950801801E-5</v>
      </c>
      <c r="FC28" s="135">
        <f t="shared" si="56"/>
        <v>-3.0180435950801801E-5</v>
      </c>
      <c r="FD28" s="135">
        <f t="shared" si="56"/>
        <v>-3.0180435950801801E-5</v>
      </c>
      <c r="FE28" s="135">
        <f t="shared" si="56"/>
        <v>-3.0180435950801801E-5</v>
      </c>
      <c r="FF28" s="135">
        <f t="shared" si="56"/>
        <v>-3.0180435950801801E-5</v>
      </c>
      <c r="FG28" s="135">
        <f t="shared" si="56"/>
        <v>-3.0180435950801801E-5</v>
      </c>
      <c r="FH28" s="135">
        <f t="shared" si="56"/>
        <v>-3.0180435950801801E-5</v>
      </c>
      <c r="FI28" s="135">
        <f t="shared" si="56"/>
        <v>-3.0180435950801801E-5</v>
      </c>
      <c r="FJ28" s="135">
        <f t="shared" si="56"/>
        <v>-3.0180435950801801E-5</v>
      </c>
      <c r="FK28" s="135">
        <f t="shared" si="57"/>
        <v>-3.0180435950801801E-5</v>
      </c>
      <c r="FL28" s="135">
        <f t="shared" si="57"/>
        <v>-3.0180435950801801E-5</v>
      </c>
      <c r="FM28" s="135">
        <f t="shared" si="57"/>
        <v>-3.0180435950801801E-5</v>
      </c>
      <c r="FN28" s="135">
        <f t="shared" si="57"/>
        <v>-3.0180435950801801E-5</v>
      </c>
      <c r="FO28" s="135">
        <f t="shared" si="57"/>
        <v>-3.0180435950801801E-5</v>
      </c>
      <c r="FP28" s="135">
        <f t="shared" si="57"/>
        <v>-3.0180435950801801E-5</v>
      </c>
      <c r="FQ28" s="135">
        <f t="shared" si="57"/>
        <v>-3.0180435950801801E-5</v>
      </c>
      <c r="FR28" s="135">
        <f t="shared" si="57"/>
        <v>-3.0180435950801801E-5</v>
      </c>
      <c r="FS28" s="135">
        <f t="shared" si="57"/>
        <v>-3.0180435950801801E-5</v>
      </c>
      <c r="FT28" s="135">
        <f t="shared" si="57"/>
        <v>-3.0180435950801801E-5</v>
      </c>
      <c r="FU28" s="137">
        <f t="shared" si="57"/>
        <v>-3.0180435950801801E-5</v>
      </c>
      <c r="FW28" s="134">
        <f t="shared" si="24"/>
        <v>26</v>
      </c>
      <c r="FX28" s="164">
        <v>0</v>
      </c>
      <c r="FY28" s="124">
        <f>HLOOKUP(FX28,$AO$2:CG28,FW28+1,0)</f>
        <v>45205</v>
      </c>
      <c r="FZ28" s="135">
        <f>HLOOKUP(FX28,$ED$2:FU28,FW28+1,0)</f>
        <v>10177534250</v>
      </c>
      <c r="GA28" s="180">
        <f t="shared" si="14"/>
        <v>10426459779.858599</v>
      </c>
      <c r="GB28" s="334">
        <f t="shared" si="15"/>
        <v>10434958907.534246</v>
      </c>
      <c r="GC28" s="181">
        <f t="shared" si="21"/>
        <v>8499127.6756477356</v>
      </c>
      <c r="GD28" s="165">
        <f t="shared" si="16"/>
        <v>0</v>
      </c>
    </row>
    <row r="29" spans="1:186" ht="15" thickBot="1">
      <c r="A29" s="144" t="s">
        <v>87</v>
      </c>
      <c r="B29" s="145" t="s">
        <v>95</v>
      </c>
      <c r="C29" s="145" t="s">
        <v>154</v>
      </c>
      <c r="D29" s="145" t="str">
        <f>VLOOKUP(B29,'NTFS - Supporting'!B:C,2,0)</f>
        <v>CI</v>
      </c>
      <c r="E29" s="145"/>
      <c r="F29" s="145"/>
      <c r="G29" s="154">
        <v>4.9000000000000002E-2</v>
      </c>
      <c r="H29" s="148">
        <v>4.9000000000000002E-2</v>
      </c>
      <c r="I29" s="148">
        <f t="shared" si="75"/>
        <v>7.4999999999999997E-2</v>
      </c>
      <c r="J29" s="147">
        <f>XNPV(I29,CJ29:CK29,AP29:AQ29)</f>
        <v>25135589502.307583</v>
      </c>
      <c r="K29" s="318">
        <v>25119166392.57885</v>
      </c>
      <c r="L29" s="319">
        <f t="shared" si="23"/>
        <v>16423109.728733063</v>
      </c>
      <c r="M29" s="145" t="s">
        <v>95</v>
      </c>
      <c r="N29" s="146" t="s">
        <v>31</v>
      </c>
      <c r="O29" s="147">
        <v>25000</v>
      </c>
      <c r="P29" s="147">
        <v>25000000000</v>
      </c>
      <c r="Q29" s="147">
        <v>1000000</v>
      </c>
      <c r="R29" s="147">
        <f t="shared" si="55"/>
        <v>25000000000</v>
      </c>
      <c r="S29" s="148">
        <v>7.4999999999999997E-2</v>
      </c>
      <c r="T29" s="148"/>
      <c r="U29" s="149">
        <v>45267</v>
      </c>
      <c r="V29" s="149">
        <v>45450</v>
      </c>
      <c r="W29" s="133" t="s">
        <v>161</v>
      </c>
      <c r="X29" s="149">
        <v>45267</v>
      </c>
      <c r="Y29" s="149">
        <f t="shared" si="63"/>
        <v>45267</v>
      </c>
      <c r="Z29" s="150">
        <f t="shared" si="78"/>
        <v>128424657.53424658</v>
      </c>
      <c r="AD29" s="153">
        <f t="shared" si="5"/>
        <v>45267</v>
      </c>
      <c r="AE29" s="149">
        <f t="shared" si="5"/>
        <v>45450</v>
      </c>
      <c r="AF29" s="154">
        <f t="shared" si="27"/>
        <v>7.4999999999999997E-2</v>
      </c>
      <c r="AG29" s="145" t="s">
        <v>155</v>
      </c>
      <c r="AH29" s="121" t="str">
        <f t="shared" si="6"/>
        <v>Cuối kỳ</v>
      </c>
      <c r="AI29" s="145" cm="1">
        <f t="array" ref="AI29">_xlfn.IFS(AH29="Quý",3,LEFT(AH29,1)="6",6,AH29="Năm",12,AH29="Cuối kỳ",1)</f>
        <v>1</v>
      </c>
      <c r="AJ29" s="149">
        <f t="shared" si="28"/>
        <v>45267</v>
      </c>
      <c r="AK29" s="176">
        <f>R29*S29*($Y$1-Y29+1)/365</f>
        <v>128424657.53424658</v>
      </c>
      <c r="AL29" s="155">
        <f t="shared" si="61"/>
        <v>1</v>
      </c>
      <c r="AM29" s="126">
        <f t="shared" si="8"/>
        <v>0</v>
      </c>
      <c r="AN29" s="126"/>
      <c r="AO29" s="153">
        <v>45267</v>
      </c>
      <c r="AP29" s="321">
        <v>45291</v>
      </c>
      <c r="AQ29" s="149">
        <v>45450</v>
      </c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9"/>
      <c r="BE29" s="149"/>
      <c r="BF29" s="149"/>
      <c r="BG29" s="149"/>
      <c r="BH29" s="149"/>
      <c r="BI29" s="149"/>
      <c r="BJ29" s="149"/>
      <c r="BK29" s="149"/>
      <c r="BL29" s="149"/>
      <c r="BM29" s="149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50">
        <f t="shared" si="51"/>
        <v>0</v>
      </c>
      <c r="CI29" s="162">
        <v>-25000000000</v>
      </c>
      <c r="CJ29" s="163">
        <v>0</v>
      </c>
      <c r="CK29" s="163">
        <f>R29+R29*S29*(V29-U29)/365</f>
        <v>25940068493.150684</v>
      </c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45"/>
      <c r="DE29" s="145"/>
      <c r="DF29" s="145"/>
      <c r="DG29" s="145"/>
      <c r="DH29" s="145"/>
      <c r="DI29" s="145"/>
      <c r="DJ29" s="145"/>
      <c r="DK29" s="145"/>
      <c r="DL29" s="145"/>
      <c r="DM29" s="145"/>
      <c r="DN29" s="327"/>
      <c r="DO29" s="155"/>
      <c r="EA29" s="128">
        <f t="shared" si="10"/>
        <v>1.4023035764694214E-3</v>
      </c>
      <c r="EB29" s="249">
        <f t="shared" si="11"/>
        <v>7.6402303576469419E-2</v>
      </c>
      <c r="EC29" s="250"/>
      <c r="ED29" s="162">
        <f t="shared" si="12"/>
        <v>25000000000</v>
      </c>
      <c r="EE29" s="147">
        <f t="shared" si="76"/>
        <v>25121319633.788696</v>
      </c>
      <c r="EF29" s="147">
        <f t="shared" si="76"/>
        <v>17.837669372558594</v>
      </c>
      <c r="EG29" s="147">
        <f t="shared" si="76"/>
        <v>1.8614059261391834E-3</v>
      </c>
      <c r="EH29" s="147">
        <f t="shared" si="76"/>
        <v>1.8614059261391834E-3</v>
      </c>
      <c r="EI29" s="147">
        <f t="shared" si="76"/>
        <v>1.8614059261391834E-3</v>
      </c>
      <c r="EJ29" s="147">
        <f t="shared" si="76"/>
        <v>1.8614059261391834E-3</v>
      </c>
      <c r="EK29" s="147">
        <f t="shared" si="76"/>
        <v>1.8614059261391834E-3</v>
      </c>
      <c r="EL29" s="147">
        <f t="shared" si="76"/>
        <v>1.8614059261391834E-3</v>
      </c>
      <c r="EM29" s="147">
        <f t="shared" si="76"/>
        <v>1.8614059261391834E-3</v>
      </c>
      <c r="EN29" s="147">
        <f t="shared" si="76"/>
        <v>1.8614059261391834E-3</v>
      </c>
      <c r="EO29" s="147">
        <f t="shared" si="76"/>
        <v>1.8614059261391834E-3</v>
      </c>
      <c r="EP29" s="147">
        <f t="shared" si="76"/>
        <v>1.8614059261391834E-3</v>
      </c>
      <c r="EQ29" s="147">
        <f t="shared" si="76"/>
        <v>1.8614059261391834E-3</v>
      </c>
      <c r="ER29" s="147">
        <f t="shared" si="76"/>
        <v>1.8614059261391834E-3</v>
      </c>
      <c r="ES29" s="147">
        <f t="shared" si="76"/>
        <v>1.8614059261391834E-3</v>
      </c>
      <c r="ET29" s="147">
        <f t="shared" si="76"/>
        <v>1.8614059261391834E-3</v>
      </c>
      <c r="EU29" s="147">
        <f t="shared" si="56"/>
        <v>1.8614059261391834E-3</v>
      </c>
      <c r="EV29" s="147">
        <f t="shared" si="56"/>
        <v>1.8614059261391834E-3</v>
      </c>
      <c r="EW29" s="147">
        <f t="shared" si="56"/>
        <v>1.8614059261391834E-3</v>
      </c>
      <c r="EX29" s="147">
        <f t="shared" si="56"/>
        <v>1.8614059261391834E-3</v>
      </c>
      <c r="EY29" s="147">
        <f t="shared" si="56"/>
        <v>1.8614059261391834E-3</v>
      </c>
      <c r="EZ29" s="147">
        <f t="shared" si="56"/>
        <v>1.8614059261391834E-3</v>
      </c>
      <c r="FA29" s="147">
        <f t="shared" si="56"/>
        <v>1.8614059261391834E-3</v>
      </c>
      <c r="FB29" s="147">
        <f t="shared" si="56"/>
        <v>1.8614059261391834E-3</v>
      </c>
      <c r="FC29" s="147">
        <f t="shared" si="56"/>
        <v>1.8614059261391834E-3</v>
      </c>
      <c r="FD29" s="147">
        <f t="shared" si="56"/>
        <v>1.8614059261391834E-3</v>
      </c>
      <c r="FE29" s="147">
        <f t="shared" si="56"/>
        <v>1.8614059261391834E-3</v>
      </c>
      <c r="FF29" s="147">
        <f t="shared" si="56"/>
        <v>1.8614059261391834E-3</v>
      </c>
      <c r="FG29" s="147">
        <f t="shared" si="56"/>
        <v>1.8614059261391834E-3</v>
      </c>
      <c r="FH29" s="147">
        <f t="shared" si="56"/>
        <v>1.8614059261391834E-3</v>
      </c>
      <c r="FI29" s="147">
        <f t="shared" si="56"/>
        <v>1.8614059261391834E-3</v>
      </c>
      <c r="FJ29" s="147">
        <f t="shared" si="56"/>
        <v>1.8614059261391834E-3</v>
      </c>
      <c r="FK29" s="147">
        <f t="shared" si="57"/>
        <v>1.8614059261391834E-3</v>
      </c>
      <c r="FL29" s="147">
        <f t="shared" si="57"/>
        <v>1.8614059261391834E-3</v>
      </c>
      <c r="FM29" s="147">
        <f t="shared" si="57"/>
        <v>1.8614059261391834E-3</v>
      </c>
      <c r="FN29" s="147">
        <f t="shared" si="57"/>
        <v>1.8614059261391834E-3</v>
      </c>
      <c r="FO29" s="147">
        <f t="shared" si="57"/>
        <v>1.8614059261391834E-3</v>
      </c>
      <c r="FP29" s="147">
        <f t="shared" si="57"/>
        <v>1.8614059261391834E-3</v>
      </c>
      <c r="FQ29" s="147">
        <f t="shared" si="57"/>
        <v>1.8614059261391834E-3</v>
      </c>
      <c r="FR29" s="147">
        <f t="shared" si="57"/>
        <v>1.8614059261391834E-3</v>
      </c>
      <c r="FS29" s="147">
        <f t="shared" si="57"/>
        <v>1.8614059261391834E-3</v>
      </c>
      <c r="FT29" s="147">
        <f t="shared" si="57"/>
        <v>1.8614059261391834E-3</v>
      </c>
      <c r="FU29" s="150">
        <f t="shared" si="57"/>
        <v>1.8614059261391834E-3</v>
      </c>
      <c r="FW29" s="134">
        <f t="shared" si="24"/>
        <v>27</v>
      </c>
      <c r="FX29" s="167">
        <v>0</v>
      </c>
      <c r="FY29" s="149">
        <f>HLOOKUP(FX29,$AO$2:CG29,FW29+1,0)</f>
        <v>45267</v>
      </c>
      <c r="FZ29" s="147">
        <f>HLOOKUP(FX29,$ED$2:FU29,FW29+1,0)</f>
        <v>25000000000</v>
      </c>
      <c r="GA29" s="184">
        <f t="shared" si="14"/>
        <v>25119166392.57885</v>
      </c>
      <c r="GB29" s="337">
        <f t="shared" si="15"/>
        <v>25128424657.534248</v>
      </c>
      <c r="GC29" s="186">
        <f t="shared" si="21"/>
        <v>9258264.9553985596</v>
      </c>
      <c r="GD29" s="168">
        <f t="shared" si="16"/>
        <v>0</v>
      </c>
    </row>
    <row r="30" spans="1:186">
      <c r="P30" s="126"/>
      <c r="AV30" s="125"/>
      <c r="AW30" s="125"/>
      <c r="AX30" s="125"/>
      <c r="AY30" s="125"/>
      <c r="AZ30" s="125"/>
      <c r="BA30" s="125"/>
      <c r="BB30" s="125"/>
      <c r="BC30" s="125"/>
      <c r="BD30" s="125"/>
      <c r="BE30" s="125"/>
      <c r="BF30" s="125"/>
      <c r="BG30" s="125"/>
      <c r="BH30" s="125"/>
      <c r="BI30" s="125"/>
    </row>
    <row r="31" spans="1:186">
      <c r="O31" s="125"/>
      <c r="P31" s="126"/>
    </row>
    <row r="32" spans="1:186">
      <c r="O32" s="125"/>
      <c r="P32" s="125"/>
    </row>
    <row r="35" spans="1:2">
      <c r="A35" s="322" t="s">
        <v>166</v>
      </c>
      <c r="B35" s="121" t="s">
        <v>167</v>
      </c>
    </row>
    <row r="36" spans="1:2">
      <c r="A36" s="322" t="s">
        <v>168</v>
      </c>
      <c r="B36" s="121" t="s">
        <v>169</v>
      </c>
    </row>
    <row r="37" spans="1:2">
      <c r="A37" s="322"/>
    </row>
  </sheetData>
  <autoFilter ref="A2:GD29" xr:uid="{43BBA220-99B1-473E-9EF9-CA244777E341}"/>
  <pageMargins left="0.7" right="0.7" top="0.75" bottom="0.75" header="0.3" footer="0.3"/>
  <pageSetup orientation="portrait" r:id="rId1"/>
  <ignoredErrors>
    <ignoredError sqref="J5:J7 J16:J29 J9:J14" formulaRange="1"/>
    <ignoredError sqref="J15" formula="1" formulaRange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7F13-A509-4074-A7DE-29C99ACC2F16}">
  <sheetPr codeName="Sheet7">
    <tabColor rgb="FFFFFF00"/>
  </sheetPr>
  <dimension ref="A1:FT32"/>
  <sheetViews>
    <sheetView showGridLines="0" zoomScale="70" zoomScaleNormal="70" workbookViewId="0">
      <pane xSplit="2" ySplit="2" topLeftCell="V3" activePane="bottomRight" state="frozen"/>
      <selection pane="topRight" activeCell="C1" sqref="C1"/>
      <selection pane="bottomLeft" activeCell="A3" sqref="A3"/>
      <selection pane="bottomRight" activeCell="AA4" sqref="AA4"/>
    </sheetView>
  </sheetViews>
  <sheetFormatPr defaultColWidth="8.81640625" defaultRowHeight="14.5"/>
  <cols>
    <col min="1" max="1" width="8.81640625" style="121"/>
    <col min="2" max="2" width="17.81640625" style="121" bestFit="1" customWidth="1"/>
    <col min="3" max="3" width="23.54296875" style="121" customWidth="1"/>
    <col min="4" max="4" width="18" style="121" customWidth="1"/>
    <col min="5" max="5" width="17" style="121" bestFit="1" customWidth="1"/>
    <col min="6" max="6" width="19.1796875" style="121" bestFit="1" customWidth="1"/>
    <col min="7" max="7" width="17.1796875" style="121" bestFit="1" customWidth="1"/>
    <col min="8" max="8" width="18.1796875" style="121" bestFit="1" customWidth="1"/>
    <col min="9" max="9" width="16.1796875" style="121" bestFit="1" customWidth="1"/>
    <col min="10" max="10" width="16.1796875" style="121" customWidth="1"/>
    <col min="11" max="12" width="11.81640625" style="121" bestFit="1" customWidth="1"/>
    <col min="13" max="13" width="13.1796875" style="121" customWidth="1"/>
    <col min="14" max="14" width="15.453125" style="121" bestFit="1" customWidth="1"/>
    <col min="15" max="15" width="16.453125" style="121" customWidth="1"/>
    <col min="16" max="16" width="18.1796875" style="121" bestFit="1" customWidth="1"/>
    <col min="17" max="17" width="10.453125" bestFit="1" customWidth="1"/>
    <col min="20" max="21" width="11.1796875" style="121" bestFit="1" customWidth="1"/>
    <col min="22" max="22" width="8.81640625" style="121" bestFit="1" customWidth="1"/>
    <col min="23" max="24" width="8.81640625" style="121"/>
    <col min="25" max="25" width="8.81640625" style="121" bestFit="1" customWidth="1"/>
    <col min="26" max="26" width="11.1796875" style="121" bestFit="1" customWidth="1"/>
    <col min="27" max="27" width="17.453125" style="121" bestFit="1" customWidth="1"/>
    <col min="28" max="28" width="8.81640625" style="121" bestFit="1" customWidth="1"/>
    <col min="29" max="29" width="8.81640625" style="121"/>
    <col min="30" max="30" width="12.81640625" style="121" bestFit="1" customWidth="1"/>
    <col min="31" max="33" width="11.453125" style="121" bestFit="1" customWidth="1"/>
    <col min="34" max="34" width="10.54296875" style="121" bestFit="1" customWidth="1"/>
    <col min="35" max="37" width="11.81640625" style="121" bestFit="1" customWidth="1"/>
    <col min="38" max="50" width="11.1796875" style="121" bestFit="1" customWidth="1"/>
    <col min="51" max="54" width="10.1796875" style="121" bestFit="1" customWidth="1"/>
    <col min="55" max="56" width="9.54296875" style="121" bestFit="1" customWidth="1"/>
    <col min="57" max="60" width="8.81640625" style="121" customWidth="1"/>
    <col min="61" max="62" width="9.54296875" style="121" bestFit="1" customWidth="1"/>
    <col min="63" max="72" width="8.81640625" style="121" hidden="1" customWidth="1"/>
    <col min="73" max="74" width="13.1796875" style="121" hidden="1" customWidth="1"/>
    <col min="75" max="75" width="10.1796875" style="121" bestFit="1" customWidth="1"/>
    <col min="76" max="76" width="8.81640625" style="121"/>
    <col min="77" max="77" width="18.453125" style="121" bestFit="1" customWidth="1"/>
    <col min="78" max="79" width="18.54296875" style="121" bestFit="1" customWidth="1"/>
    <col min="80" max="82" width="16.54296875" style="121" bestFit="1" customWidth="1"/>
    <col min="83" max="84" width="17.54296875" style="121" bestFit="1" customWidth="1"/>
    <col min="85" max="85" width="16.453125" style="121" bestFit="1" customWidth="1"/>
    <col min="86" max="86" width="16.54296875" style="121" bestFit="1" customWidth="1"/>
    <col min="87" max="87" width="16.1796875" style="121" bestFit="1" customWidth="1"/>
    <col min="88" max="88" width="19.54296875" style="121" bestFit="1" customWidth="1"/>
    <col min="89" max="89" width="17" style="121" bestFit="1" customWidth="1"/>
    <col min="90" max="90" width="17.453125" style="121" bestFit="1" customWidth="1"/>
    <col min="91" max="91" width="16" style="121" bestFit="1" customWidth="1"/>
    <col min="92" max="92" width="16.54296875" style="121" bestFit="1" customWidth="1"/>
    <col min="93" max="93" width="16.1796875" style="121" bestFit="1" customWidth="1"/>
    <col min="94" max="94" width="18" style="121" bestFit="1" customWidth="1"/>
    <col min="95" max="99" width="16.1796875" style="121" bestFit="1" customWidth="1"/>
    <col min="100" max="100" width="17.1796875" style="121" bestFit="1" customWidth="1"/>
    <col min="101" max="101" width="13.453125" style="121" bestFit="1" customWidth="1"/>
    <col min="102" max="102" width="11.54296875" style="121" bestFit="1" customWidth="1"/>
    <col min="103" max="103" width="12" style="121" bestFit="1" customWidth="1"/>
    <col min="104" max="104" width="12.453125" style="121" bestFit="1" customWidth="1"/>
    <col min="105" max="105" width="13.54296875" style="121" bestFit="1" customWidth="1"/>
    <col min="106" max="106" width="14" style="121" bestFit="1" customWidth="1"/>
    <col min="107" max="107" width="11.453125" style="121" bestFit="1" customWidth="1"/>
    <col min="108" max="108" width="13.54296875" style="121" bestFit="1" customWidth="1"/>
    <col min="109" max="119" width="8.81640625" style="121" hidden="1" customWidth="1"/>
    <col min="120" max="120" width="13.1796875" style="121" hidden="1" customWidth="1"/>
    <col min="121" max="121" width="8.81640625" style="121"/>
    <col min="122" max="122" width="8.81640625" style="123" bestFit="1" customWidth="1"/>
    <col min="123" max="123" width="8.81640625" style="121"/>
    <col min="124" max="124" width="15.81640625" style="125" bestFit="1" customWidth="1"/>
    <col min="125" max="125" width="19.54296875" style="125" bestFit="1" customWidth="1"/>
    <col min="126" max="126" width="17.54296875" style="125" bestFit="1" customWidth="1"/>
    <col min="127" max="127" width="17.1796875" style="125" bestFit="1" customWidth="1"/>
    <col min="128" max="128" width="17.54296875" style="125" bestFit="1" customWidth="1"/>
    <col min="129" max="129" width="17.81640625" style="125" bestFit="1" customWidth="1"/>
    <col min="130" max="134" width="17.54296875" style="125" bestFit="1" customWidth="1"/>
    <col min="135" max="135" width="16.81640625" style="125" bestFit="1" customWidth="1"/>
    <col min="136" max="136" width="18.1796875" style="125" bestFit="1" customWidth="1"/>
    <col min="137" max="138" width="17.54296875" style="125" bestFit="1" customWidth="1"/>
    <col min="139" max="139" width="17.1796875" style="125" bestFit="1" customWidth="1"/>
    <col min="140" max="143" width="17.54296875" style="125" bestFit="1" customWidth="1"/>
    <col min="144" max="144" width="16.81640625" style="125" bestFit="1" customWidth="1"/>
    <col min="145" max="145" width="16.1796875" style="125" bestFit="1" customWidth="1"/>
    <col min="146" max="146" width="16.81640625" style="125" bestFit="1" customWidth="1"/>
    <col min="147" max="148" width="16.1796875" style="125" bestFit="1" customWidth="1"/>
    <col min="149" max="149" width="13.54296875" style="125" bestFit="1" customWidth="1"/>
    <col min="150" max="150" width="14" style="125" bestFit="1" customWidth="1"/>
    <col min="151" max="151" width="13.54296875" style="125" bestFit="1" customWidth="1"/>
    <col min="152" max="152" width="14" style="125" bestFit="1" customWidth="1"/>
    <col min="153" max="154" width="13.54296875" style="125" bestFit="1" customWidth="1"/>
    <col min="155" max="155" width="6.453125" style="125" customWidth="1"/>
    <col min="156" max="167" width="6.453125" style="125" hidden="1" customWidth="1"/>
    <col min="168" max="168" width="10.81640625" style="121" customWidth="1"/>
    <col min="169" max="169" width="8.81640625" style="121" bestFit="1" customWidth="1"/>
    <col min="170" max="170" width="11.1796875" style="132" bestFit="1" customWidth="1"/>
    <col min="171" max="171" width="16.81640625" style="121" bestFit="1" customWidth="1"/>
    <col min="172" max="172" width="18.54296875" style="121" bestFit="1" customWidth="1"/>
    <col min="173" max="173" width="17.453125" style="121" bestFit="1" customWidth="1"/>
    <col min="174" max="174" width="19.54296875" style="121" bestFit="1" customWidth="1"/>
    <col min="175" max="176" width="20.81640625" style="121" bestFit="1" customWidth="1"/>
    <col min="177" max="16384" width="8.81640625" style="121"/>
  </cols>
  <sheetData>
    <row r="1" spans="1:176" ht="15" thickBot="1">
      <c r="A1" s="121" cm="1">
        <f t="array" ref="A1">COLUMN(DR:DR)</f>
        <v>122</v>
      </c>
      <c r="F1" s="126">
        <f>SUM(F3:F29)</f>
        <v>1025612849307.1361</v>
      </c>
      <c r="G1" s="261"/>
      <c r="H1" s="125"/>
      <c r="I1" s="130"/>
      <c r="J1" s="130"/>
      <c r="N1" s="124">
        <v>45001</v>
      </c>
      <c r="O1" s="127">
        <v>45291</v>
      </c>
      <c r="P1" s="122">
        <f>SUBTOTAL(109,P3:P29)</f>
        <v>31739115134.622185</v>
      </c>
      <c r="AA1" s="230">
        <f>SUBTOTAL(109,AA3:AA29)</f>
        <v>31739115134.622185</v>
      </c>
      <c r="AE1" s="71"/>
      <c r="AF1" s="71"/>
      <c r="AG1" s="72"/>
      <c r="AH1" s="72"/>
      <c r="AI1" s="72"/>
      <c r="AJ1" s="72"/>
      <c r="AK1" s="72"/>
      <c r="AL1" s="72"/>
      <c r="BZ1" s="124"/>
      <c r="CA1" s="124"/>
      <c r="CB1" s="124"/>
      <c r="CC1" s="124"/>
      <c r="CD1" s="124"/>
      <c r="CE1" s="124"/>
      <c r="CF1" s="124"/>
      <c r="CG1" s="124"/>
      <c r="CH1" s="124"/>
      <c r="CI1" s="124"/>
      <c r="CJ1" s="124"/>
      <c r="CK1" s="124"/>
      <c r="CL1" s="124"/>
      <c r="CM1" s="124"/>
      <c r="CN1" s="124"/>
      <c r="CO1" s="124"/>
      <c r="CP1" s="124"/>
      <c r="CQ1" s="124"/>
      <c r="CR1" s="124"/>
      <c r="CS1" s="124"/>
      <c r="CT1" s="124"/>
      <c r="CU1" s="124"/>
      <c r="CV1" s="124"/>
      <c r="DR1" s="216" t="s">
        <v>126</v>
      </c>
      <c r="FP1" s="127">
        <v>45291</v>
      </c>
      <c r="FR1" s="121" cm="1">
        <f t="array" ref="FR1">COLUMN(FQ:FQ)</f>
        <v>173</v>
      </c>
      <c r="FS1" s="187">
        <f>SUBTOTAL(9,FS3:FS1048576)</f>
        <v>-824305089.86702681</v>
      </c>
    </row>
    <row r="2" spans="1:176" s="196" customFormat="1" ht="52">
      <c r="A2" s="192" t="s">
        <v>71</v>
      </c>
      <c r="B2" s="193" t="s">
        <v>0</v>
      </c>
      <c r="C2" s="193" t="s">
        <v>1</v>
      </c>
      <c r="D2" s="193" t="s">
        <v>2</v>
      </c>
      <c r="E2" s="193" t="s">
        <v>3</v>
      </c>
      <c r="F2" s="193" t="s">
        <v>4</v>
      </c>
      <c r="G2" s="194" t="s">
        <v>5</v>
      </c>
      <c r="H2" s="194" t="s">
        <v>6</v>
      </c>
      <c r="I2" s="194" t="s">
        <v>7</v>
      </c>
      <c r="J2" s="194" t="s">
        <v>136</v>
      </c>
      <c r="K2" s="194" t="s">
        <v>8</v>
      </c>
      <c r="L2" s="194" t="s">
        <v>9</v>
      </c>
      <c r="M2" s="194" t="s">
        <v>10</v>
      </c>
      <c r="N2" s="194" t="s">
        <v>137</v>
      </c>
      <c r="O2" s="191" t="s">
        <v>138</v>
      </c>
      <c r="P2" s="195" t="s">
        <v>12</v>
      </c>
      <c r="T2" s="197" t="s">
        <v>139</v>
      </c>
      <c r="U2" s="198" t="s">
        <v>140</v>
      </c>
      <c r="V2" s="199" t="s">
        <v>7</v>
      </c>
      <c r="W2" s="199" t="s">
        <v>141</v>
      </c>
      <c r="X2" s="198" t="s">
        <v>142</v>
      </c>
      <c r="Y2" s="198" t="s">
        <v>143</v>
      </c>
      <c r="Z2" s="200" t="s">
        <v>144</v>
      </c>
      <c r="AA2" s="201" t="s">
        <v>145</v>
      </c>
      <c r="AB2" s="202" t="s">
        <v>146</v>
      </c>
      <c r="AC2" s="203"/>
      <c r="AD2" s="203"/>
      <c r="AE2" s="204">
        <v>0</v>
      </c>
      <c r="AF2" s="205">
        <v>1</v>
      </c>
      <c r="AG2" s="205">
        <v>2</v>
      </c>
      <c r="AH2" s="205">
        <v>3</v>
      </c>
      <c r="AI2" s="205">
        <v>4</v>
      </c>
      <c r="AJ2" s="205">
        <v>5</v>
      </c>
      <c r="AK2" s="205">
        <v>6</v>
      </c>
      <c r="AL2" s="205">
        <v>7</v>
      </c>
      <c r="AM2" s="205">
        <v>8</v>
      </c>
      <c r="AN2" s="205">
        <v>9</v>
      </c>
      <c r="AO2" s="205">
        <v>10</v>
      </c>
      <c r="AP2" s="205">
        <v>11</v>
      </c>
      <c r="AQ2" s="205">
        <v>12</v>
      </c>
      <c r="AR2" s="205">
        <v>13</v>
      </c>
      <c r="AS2" s="205">
        <v>14</v>
      </c>
      <c r="AT2" s="205">
        <v>15</v>
      </c>
      <c r="AU2" s="205">
        <v>16</v>
      </c>
      <c r="AV2" s="205">
        <v>17</v>
      </c>
      <c r="AW2" s="205">
        <v>18</v>
      </c>
      <c r="AX2" s="205">
        <v>19</v>
      </c>
      <c r="AY2" s="205">
        <v>20</v>
      </c>
      <c r="AZ2" s="205">
        <f>AY2+1</f>
        <v>21</v>
      </c>
      <c r="BA2" s="205">
        <f t="shared" ref="BA2:BV2" si="0">AZ2+1</f>
        <v>22</v>
      </c>
      <c r="BB2" s="205">
        <f t="shared" si="0"/>
        <v>23</v>
      </c>
      <c r="BC2" s="205">
        <f t="shared" si="0"/>
        <v>24</v>
      </c>
      <c r="BD2" s="205">
        <f t="shared" si="0"/>
        <v>25</v>
      </c>
      <c r="BE2" s="205">
        <f t="shared" si="0"/>
        <v>26</v>
      </c>
      <c r="BF2" s="205">
        <f t="shared" si="0"/>
        <v>27</v>
      </c>
      <c r="BG2" s="205">
        <f t="shared" si="0"/>
        <v>28</v>
      </c>
      <c r="BH2" s="205">
        <f t="shared" si="0"/>
        <v>29</v>
      </c>
      <c r="BI2" s="205">
        <f t="shared" si="0"/>
        <v>30</v>
      </c>
      <c r="BJ2" s="205">
        <f t="shared" si="0"/>
        <v>31</v>
      </c>
      <c r="BK2" s="205">
        <f t="shared" si="0"/>
        <v>32</v>
      </c>
      <c r="BL2" s="205">
        <f t="shared" si="0"/>
        <v>33</v>
      </c>
      <c r="BM2" s="205">
        <f t="shared" si="0"/>
        <v>34</v>
      </c>
      <c r="BN2" s="205">
        <f t="shared" si="0"/>
        <v>35</v>
      </c>
      <c r="BO2" s="205">
        <f t="shared" si="0"/>
        <v>36</v>
      </c>
      <c r="BP2" s="205">
        <f t="shared" si="0"/>
        <v>37</v>
      </c>
      <c r="BQ2" s="205">
        <f t="shared" si="0"/>
        <v>38</v>
      </c>
      <c r="BR2" s="205">
        <f t="shared" si="0"/>
        <v>39</v>
      </c>
      <c r="BS2" s="205">
        <f t="shared" si="0"/>
        <v>40</v>
      </c>
      <c r="BT2" s="205">
        <f t="shared" si="0"/>
        <v>41</v>
      </c>
      <c r="BU2" s="205">
        <f t="shared" si="0"/>
        <v>42</v>
      </c>
      <c r="BV2" s="205">
        <f t="shared" si="0"/>
        <v>43</v>
      </c>
      <c r="BW2" s="206" t="s">
        <v>147</v>
      </c>
      <c r="BX2" s="203"/>
      <c r="BY2" s="204">
        <v>0</v>
      </c>
      <c r="BZ2" s="205">
        <v>1</v>
      </c>
      <c r="CA2" s="205">
        <v>2</v>
      </c>
      <c r="CB2" s="205">
        <v>3</v>
      </c>
      <c r="CC2" s="205">
        <v>4</v>
      </c>
      <c r="CD2" s="205">
        <v>5</v>
      </c>
      <c r="CE2" s="205">
        <v>6</v>
      </c>
      <c r="CF2" s="205">
        <v>7</v>
      </c>
      <c r="CG2" s="205">
        <v>8</v>
      </c>
      <c r="CH2" s="205">
        <v>9</v>
      </c>
      <c r="CI2" s="205">
        <v>10</v>
      </c>
      <c r="CJ2" s="205">
        <v>11</v>
      </c>
      <c r="CK2" s="205">
        <v>12</v>
      </c>
      <c r="CL2" s="205">
        <v>13</v>
      </c>
      <c r="CM2" s="205">
        <v>14</v>
      </c>
      <c r="CN2" s="205">
        <v>15</v>
      </c>
      <c r="CO2" s="205">
        <v>16</v>
      </c>
      <c r="CP2" s="205">
        <v>17</v>
      </c>
      <c r="CQ2" s="205">
        <v>18</v>
      </c>
      <c r="CR2" s="205">
        <v>19</v>
      </c>
      <c r="CS2" s="205">
        <v>20</v>
      </c>
      <c r="CT2" s="205">
        <f>CS2+1</f>
        <v>21</v>
      </c>
      <c r="CU2" s="205">
        <f t="shared" ref="CU2:DP2" si="1">CT2+1</f>
        <v>22</v>
      </c>
      <c r="CV2" s="244">
        <f t="shared" si="1"/>
        <v>23</v>
      </c>
      <c r="CW2" s="211">
        <f t="shared" si="1"/>
        <v>24</v>
      </c>
      <c r="CX2" s="245">
        <f t="shared" si="1"/>
        <v>25</v>
      </c>
      <c r="CY2" s="205">
        <f t="shared" si="1"/>
        <v>26</v>
      </c>
      <c r="CZ2" s="205">
        <f t="shared" si="1"/>
        <v>27</v>
      </c>
      <c r="DA2" s="205">
        <f t="shared" si="1"/>
        <v>28</v>
      </c>
      <c r="DB2" s="205">
        <f t="shared" si="1"/>
        <v>29</v>
      </c>
      <c r="DC2" s="205">
        <f t="shared" si="1"/>
        <v>30</v>
      </c>
      <c r="DD2" s="207">
        <f t="shared" si="1"/>
        <v>31</v>
      </c>
      <c r="DE2" s="208">
        <f t="shared" si="1"/>
        <v>32</v>
      </c>
      <c r="DF2" s="209">
        <f t="shared" si="1"/>
        <v>33</v>
      </c>
      <c r="DG2" s="209">
        <f t="shared" si="1"/>
        <v>34</v>
      </c>
      <c r="DH2" s="209">
        <f t="shared" si="1"/>
        <v>35</v>
      </c>
      <c r="DI2" s="209">
        <f t="shared" si="1"/>
        <v>36</v>
      </c>
      <c r="DJ2" s="209">
        <f t="shared" si="1"/>
        <v>37</v>
      </c>
      <c r="DK2" s="209">
        <f t="shared" si="1"/>
        <v>38</v>
      </c>
      <c r="DL2" s="209">
        <f t="shared" si="1"/>
        <v>39</v>
      </c>
      <c r="DM2" s="209">
        <f t="shared" si="1"/>
        <v>40</v>
      </c>
      <c r="DN2" s="209">
        <f t="shared" si="1"/>
        <v>41</v>
      </c>
      <c r="DO2" s="209">
        <f t="shared" si="1"/>
        <v>42</v>
      </c>
      <c r="DP2" s="209">
        <f t="shared" si="1"/>
        <v>43</v>
      </c>
      <c r="DQ2" s="203"/>
      <c r="DR2" s="246" t="s">
        <v>148</v>
      </c>
      <c r="DS2" s="203"/>
      <c r="DT2" s="210">
        <v>0</v>
      </c>
      <c r="DU2" s="205">
        <v>1</v>
      </c>
      <c r="DV2" s="205">
        <v>2</v>
      </c>
      <c r="DW2" s="205">
        <v>3</v>
      </c>
      <c r="DX2" s="205">
        <v>4</v>
      </c>
      <c r="DY2" s="205">
        <v>5</v>
      </c>
      <c r="DZ2" s="205">
        <v>6</v>
      </c>
      <c r="EA2" s="205">
        <v>7</v>
      </c>
      <c r="EB2" s="205">
        <v>8</v>
      </c>
      <c r="EC2" s="205">
        <v>9</v>
      </c>
      <c r="ED2" s="205">
        <v>10</v>
      </c>
      <c r="EE2" s="205">
        <v>11</v>
      </c>
      <c r="EF2" s="205">
        <v>12</v>
      </c>
      <c r="EG2" s="205">
        <v>13</v>
      </c>
      <c r="EH2" s="205">
        <v>14</v>
      </c>
      <c r="EI2" s="205">
        <v>15</v>
      </c>
      <c r="EJ2" s="205">
        <v>16</v>
      </c>
      <c r="EK2" s="205">
        <v>17</v>
      </c>
      <c r="EL2" s="205">
        <v>18</v>
      </c>
      <c r="EM2" s="205">
        <v>19</v>
      </c>
      <c r="EN2" s="205">
        <v>20</v>
      </c>
      <c r="EO2" s="205">
        <v>21</v>
      </c>
      <c r="EP2" s="205">
        <v>22</v>
      </c>
      <c r="EQ2" s="205">
        <v>23</v>
      </c>
      <c r="ER2" s="205">
        <v>24</v>
      </c>
      <c r="ES2" s="205">
        <v>25</v>
      </c>
      <c r="ET2" s="205">
        <v>26</v>
      </c>
      <c r="EU2" s="205">
        <v>27</v>
      </c>
      <c r="EV2" s="205">
        <v>28</v>
      </c>
      <c r="EW2" s="205">
        <v>29</v>
      </c>
      <c r="EX2" s="205">
        <v>30</v>
      </c>
      <c r="EY2" s="205">
        <v>31</v>
      </c>
      <c r="EZ2" s="205">
        <v>32</v>
      </c>
      <c r="FA2" s="205">
        <v>33</v>
      </c>
      <c r="FB2" s="205">
        <v>34</v>
      </c>
      <c r="FC2" s="211">
        <f>FB2+1</f>
        <v>35</v>
      </c>
      <c r="FD2" s="211">
        <f t="shared" ref="FD2:FK2" si="2">FC2+1</f>
        <v>36</v>
      </c>
      <c r="FE2" s="211">
        <f t="shared" si="2"/>
        <v>37</v>
      </c>
      <c r="FF2" s="211">
        <f t="shared" si="2"/>
        <v>38</v>
      </c>
      <c r="FG2" s="211">
        <f t="shared" si="2"/>
        <v>39</v>
      </c>
      <c r="FH2" s="211">
        <f t="shared" si="2"/>
        <v>40</v>
      </c>
      <c r="FI2" s="211">
        <f t="shared" si="2"/>
        <v>41</v>
      </c>
      <c r="FJ2" s="211">
        <f t="shared" si="2"/>
        <v>42</v>
      </c>
      <c r="FK2" s="212">
        <f t="shared" si="2"/>
        <v>43</v>
      </c>
      <c r="FL2" s="203"/>
      <c r="FM2" s="213" t="s">
        <v>149</v>
      </c>
      <c r="FN2" s="214" t="s">
        <v>150</v>
      </c>
      <c r="FO2" s="215" t="s">
        <v>151</v>
      </c>
      <c r="FP2" s="215" t="s">
        <v>152</v>
      </c>
      <c r="FQ2" s="177" t="s">
        <v>77</v>
      </c>
      <c r="FR2" s="178" t="s">
        <v>153</v>
      </c>
      <c r="FS2" s="179" t="s">
        <v>135</v>
      </c>
      <c r="FT2" s="169" t="s">
        <v>147</v>
      </c>
    </row>
    <row r="3" spans="1:176">
      <c r="A3" s="134" t="s">
        <v>83</v>
      </c>
      <c r="B3" s="121" t="s">
        <v>13</v>
      </c>
      <c r="C3" s="3" t="s">
        <v>13</v>
      </c>
      <c r="D3" s="3" t="s">
        <v>14</v>
      </c>
      <c r="E3" s="140">
        <v>125000</v>
      </c>
      <c r="F3" s="140">
        <f>SUMIFS('121'!E:E,'121'!B:B,'Amortised cost 31.12.2023'!C3)</f>
        <v>12500000000</v>
      </c>
      <c r="G3" s="140">
        <v>100000</v>
      </c>
      <c r="H3" s="140">
        <f t="shared" ref="H3:H12" si="3">E3*G3</f>
        <v>12500000000</v>
      </c>
      <c r="I3" s="222">
        <v>0.105</v>
      </c>
      <c r="J3" s="222"/>
      <c r="K3" s="124">
        <v>44484</v>
      </c>
      <c r="L3" s="124">
        <v>45580</v>
      </c>
      <c r="M3" s="121" t="s">
        <v>15</v>
      </c>
      <c r="N3" s="124">
        <v>44536</v>
      </c>
      <c r="O3" s="124">
        <v>45214</v>
      </c>
      <c r="P3" s="141">
        <f t="shared" ref="P3" si="4">H3*I3*($O$1-O3+1)/365</f>
        <v>280479452.05479455</v>
      </c>
      <c r="R3" s="121"/>
      <c r="T3" s="151">
        <f t="shared" ref="T3:T29" si="5">K3</f>
        <v>44484</v>
      </c>
      <c r="U3" s="124">
        <f t="shared" ref="U3:U29" si="6">L3</f>
        <v>45580</v>
      </c>
      <c r="V3" s="128">
        <f>I3</f>
        <v>0.105</v>
      </c>
      <c r="W3" s="121" t="s">
        <v>155</v>
      </c>
      <c r="X3" s="121" t="str">
        <f t="shared" ref="X3:X29" si="7">M3</f>
        <v>6 tháng/lần</v>
      </c>
      <c r="Y3" s="121" cm="1">
        <f t="array" ref="Y3">_xlfn.IFS(X3="Quý",3,LEFT(X3,1)="6",6,X3="Năm",12,X3="Cuối kỳ",1)</f>
        <v>6</v>
      </c>
      <c r="Z3" s="124">
        <f>O3</f>
        <v>45214</v>
      </c>
      <c r="AA3" s="175">
        <f>H3*I3*($O$1-O3+1)/365</f>
        <v>280479452.05479455</v>
      </c>
      <c r="AB3" s="152">
        <f t="shared" ref="AB3:AB12" si="8">IF(X3="Cuối kỳ",1,ROUND((U3-T3)/30/Y3,0))</f>
        <v>6</v>
      </c>
      <c r="AC3" s="126">
        <f t="shared" ref="AC3:AC29" si="9">AA3-P3</f>
        <v>0</v>
      </c>
      <c r="AD3" s="126"/>
      <c r="AE3" s="151">
        <v>44536</v>
      </c>
      <c r="AF3" s="124">
        <v>44537</v>
      </c>
      <c r="AG3" s="124">
        <v>44538</v>
      </c>
      <c r="AH3" s="124">
        <v>44539</v>
      </c>
      <c r="AI3" s="124">
        <v>44540</v>
      </c>
      <c r="AJ3" s="124">
        <v>44554</v>
      </c>
      <c r="AK3" s="124">
        <v>44558</v>
      </c>
      <c r="AL3" s="124">
        <v>44559</v>
      </c>
      <c r="AM3" s="124">
        <v>44560</v>
      </c>
      <c r="AN3" s="124">
        <v>44666</v>
      </c>
      <c r="AO3" s="124">
        <v>44849</v>
      </c>
      <c r="AP3" s="124">
        <v>44851</v>
      </c>
      <c r="AQ3" s="124">
        <v>45031</v>
      </c>
      <c r="AR3" s="254">
        <v>45031</v>
      </c>
      <c r="AS3" s="254">
        <v>45214</v>
      </c>
      <c r="AT3" s="254">
        <v>45214</v>
      </c>
      <c r="AU3" s="124">
        <v>45397</v>
      </c>
      <c r="AV3" s="124">
        <v>45580</v>
      </c>
      <c r="AW3" s="124"/>
      <c r="AX3" s="124"/>
      <c r="AY3" s="124"/>
      <c r="AZ3" s="124"/>
      <c r="BA3" s="124"/>
      <c r="BB3" s="124"/>
      <c r="BC3" s="124"/>
      <c r="BW3" s="141">
        <f t="shared" ref="BW3:BW6" si="10">MAX(AE3:BC3)-U3</f>
        <v>0</v>
      </c>
      <c r="BY3" s="223">
        <v>-15133800000</v>
      </c>
      <c r="BZ3" s="129">
        <v>-10092100000</v>
      </c>
      <c r="CA3" s="129">
        <v>13123370000</v>
      </c>
      <c r="CB3" s="129">
        <v>-11107580000</v>
      </c>
      <c r="CC3" s="129">
        <v>23231610000</v>
      </c>
      <c r="CD3" s="129">
        <v>-10141000000</v>
      </c>
      <c r="CE3" s="129">
        <v>4061000000</v>
      </c>
      <c r="CF3" s="129">
        <v>-18279540000</v>
      </c>
      <c r="CG3" s="129">
        <v>-1015820000</v>
      </c>
      <c r="CH3" s="129">
        <v>1157876712</v>
      </c>
      <c r="CI3" s="5">
        <v>5000000000</v>
      </c>
      <c r="CJ3" s="237">
        <v>1316095890</v>
      </c>
      <c r="CK3" s="224">
        <v>1047123288</v>
      </c>
      <c r="CL3" s="224">
        <v>3750000000</v>
      </c>
      <c r="CM3" s="224">
        <v>855462329</v>
      </c>
      <c r="CN3" s="332">
        <v>3750000000</v>
      </c>
      <c r="CO3" s="224">
        <f>5000000000+658048000</f>
        <v>5658048000</v>
      </c>
      <c r="CP3" s="224">
        <v>7893750000</v>
      </c>
      <c r="DD3" s="152"/>
      <c r="DQ3" s="128">
        <f t="shared" ref="DQ3:DQ29" si="11">DR3-V3</f>
        <v>2.6387941837310719E-3</v>
      </c>
      <c r="DR3" s="247">
        <f t="shared" ref="DR3:DR29" si="12">XIRR(BY3:DP3,AE3:BV3)</f>
        <v>0.10763879418373107</v>
      </c>
      <c r="DS3" s="250"/>
      <c r="DT3" s="161">
        <f t="shared" ref="DT3:DT29" si="13">-BY3</f>
        <v>15133800000</v>
      </c>
      <c r="DU3" s="140">
        <f t="shared" ref="DU3:FK3" si="14">DT3*(1+$DR3)^((AF3-AE3)/365)-BZ3</f>
        <v>25230139323.800369</v>
      </c>
      <c r="DV3" s="140">
        <f t="shared" si="14"/>
        <v>12113836863.355675</v>
      </c>
      <c r="DW3" s="140">
        <f t="shared" si="14"/>
        <v>23224810226.352982</v>
      </c>
      <c r="DX3" s="140">
        <f t="shared" si="14"/>
        <v>-293972.67491149902</v>
      </c>
      <c r="DY3" s="140">
        <f t="shared" si="14"/>
        <v>10140704872.344919</v>
      </c>
      <c r="DZ3" s="140">
        <f t="shared" si="14"/>
        <v>6091072221.8548222</v>
      </c>
      <c r="EA3" s="140">
        <f t="shared" si="14"/>
        <v>24372318470.6119</v>
      </c>
      <c r="EB3" s="140">
        <f t="shared" si="14"/>
        <v>25394965714.910271</v>
      </c>
      <c r="EC3" s="140">
        <f t="shared" si="14"/>
        <v>25002340309.98465</v>
      </c>
      <c r="ED3" s="140">
        <f t="shared" si="14"/>
        <v>21317253304.809258</v>
      </c>
      <c r="EE3" s="140">
        <f t="shared" si="14"/>
        <v>20013101988.776138</v>
      </c>
      <c r="EF3" s="140">
        <f t="shared" si="14"/>
        <v>20000806710.379639</v>
      </c>
      <c r="EG3" s="140">
        <f t="shared" si="14"/>
        <v>16250806710.379639</v>
      </c>
      <c r="EH3" s="140">
        <f t="shared" si="14"/>
        <v>16250000251.787407</v>
      </c>
      <c r="EI3" s="140">
        <f t="shared" si="14"/>
        <v>12500000251.787407</v>
      </c>
      <c r="EJ3" s="140">
        <f t="shared" si="14"/>
        <v>7499347222.1223354</v>
      </c>
      <c r="EK3" s="140">
        <f t="shared" si="14"/>
        <v>-134.2526388168335</v>
      </c>
      <c r="EL3" s="140">
        <f t="shared" si="14"/>
        <v>-3.8337766300416672E-4</v>
      </c>
      <c r="EM3" s="140">
        <f t="shared" si="14"/>
        <v>-3.8337766300416672E-4</v>
      </c>
      <c r="EN3" s="140">
        <f t="shared" si="14"/>
        <v>-3.8337766300416672E-4</v>
      </c>
      <c r="EO3" s="140">
        <f t="shared" si="14"/>
        <v>-3.8337766300416672E-4</v>
      </c>
      <c r="EP3" s="140">
        <f t="shared" si="14"/>
        <v>-3.8337766300416672E-4</v>
      </c>
      <c r="EQ3" s="140">
        <f t="shared" si="14"/>
        <v>-3.8337766300416672E-4</v>
      </c>
      <c r="ER3" s="140">
        <f t="shared" si="14"/>
        <v>-3.8337766300416672E-4</v>
      </c>
      <c r="ES3" s="140">
        <f t="shared" si="14"/>
        <v>-3.8337766300416672E-4</v>
      </c>
      <c r="ET3" s="140">
        <f t="shared" si="14"/>
        <v>-3.8337766300416672E-4</v>
      </c>
      <c r="EU3" s="140">
        <f t="shared" si="14"/>
        <v>-3.8337766300416672E-4</v>
      </c>
      <c r="EV3" s="140">
        <f t="shared" si="14"/>
        <v>-3.8337766300416672E-4</v>
      </c>
      <c r="EW3" s="140">
        <f t="shared" si="14"/>
        <v>-3.8337766300416672E-4</v>
      </c>
      <c r="EX3" s="140">
        <f t="shared" si="14"/>
        <v>-3.8337766300416672E-4</v>
      </c>
      <c r="EY3" s="140">
        <f t="shared" si="14"/>
        <v>-3.8337766300416672E-4</v>
      </c>
      <c r="EZ3" s="140">
        <f t="shared" si="14"/>
        <v>-3.8337766300416672E-4</v>
      </c>
      <c r="FA3" s="140">
        <f t="shared" si="14"/>
        <v>-3.8337766300416672E-4</v>
      </c>
      <c r="FB3" s="140">
        <f t="shared" si="14"/>
        <v>-3.8337766300416672E-4</v>
      </c>
      <c r="FC3" s="140">
        <f t="shared" si="14"/>
        <v>-3.8337766300416672E-4</v>
      </c>
      <c r="FD3" s="140">
        <f t="shared" si="14"/>
        <v>-3.8337766300416672E-4</v>
      </c>
      <c r="FE3" s="140">
        <f t="shared" si="14"/>
        <v>-3.8337766300416672E-4</v>
      </c>
      <c r="FF3" s="140">
        <f t="shared" si="14"/>
        <v>-3.8337766300416672E-4</v>
      </c>
      <c r="FG3" s="140">
        <f t="shared" si="14"/>
        <v>-3.8337766300416672E-4</v>
      </c>
      <c r="FH3" s="140">
        <f t="shared" si="14"/>
        <v>-3.8337766300416672E-4</v>
      </c>
      <c r="FI3" s="140">
        <f t="shared" si="14"/>
        <v>-3.8337766300416672E-4</v>
      </c>
      <c r="FJ3" s="140">
        <f t="shared" si="14"/>
        <v>-3.8337766300416672E-4</v>
      </c>
      <c r="FK3" s="141">
        <f t="shared" si="14"/>
        <v>-3.8337766300416672E-4</v>
      </c>
      <c r="FL3" s="225"/>
      <c r="FM3" s="134">
        <v>1</v>
      </c>
      <c r="FN3" s="166">
        <v>15</v>
      </c>
      <c r="FO3" s="124">
        <f>HLOOKUP(FN3,$AE$2:BW3,FM3+1,0)</f>
        <v>45214</v>
      </c>
      <c r="FP3" s="140">
        <f>HLOOKUP(FN3,$DT$2:FK3,FM3+1,0)</f>
        <v>12500000251.787407</v>
      </c>
      <c r="FQ3" s="182">
        <f>FP3*(1+V3)^(($FP$1-FO3)/365)</f>
        <v>12766083490.717894</v>
      </c>
      <c r="FR3" s="126">
        <f>F3+AA3</f>
        <v>12780479452.054794</v>
      </c>
      <c r="FS3" s="183">
        <f>FR3-FQ3</f>
        <v>14395961.336900711</v>
      </c>
      <c r="FT3" s="165">
        <f t="shared" ref="FT3:FT29" si="15">FR3-AA3-F3</f>
        <v>0</v>
      </c>
    </row>
    <row r="4" spans="1:176">
      <c r="A4" s="134" t="s">
        <v>83</v>
      </c>
      <c r="B4" s="121" t="s">
        <v>16</v>
      </c>
      <c r="C4" s="3" t="s">
        <v>16</v>
      </c>
      <c r="D4" s="3" t="s">
        <v>14</v>
      </c>
      <c r="E4" s="135">
        <v>1000000</v>
      </c>
      <c r="F4" s="135">
        <f>SUMIFS('121'!E:E,'121'!B:B,'Amortised cost 31.12.2023'!C4)</f>
        <v>100860500000</v>
      </c>
      <c r="G4" s="135">
        <v>100000</v>
      </c>
      <c r="H4" s="135">
        <f t="shared" si="3"/>
        <v>100000000000</v>
      </c>
      <c r="I4" s="136">
        <v>9.0999999999999998E-2</v>
      </c>
      <c r="J4" s="136"/>
      <c r="K4" s="124">
        <v>45184</v>
      </c>
      <c r="L4" s="124">
        <v>47741</v>
      </c>
      <c r="M4" s="121" t="s">
        <v>17</v>
      </c>
      <c r="N4" s="124">
        <v>45223</v>
      </c>
      <c r="O4" s="124">
        <v>45223</v>
      </c>
      <c r="P4" s="137">
        <f>SUMIFS('Mua bán - filtered'!N:N,'Mua bán - filtered'!A:A,B4)</f>
        <v>1508356164.3835616</v>
      </c>
      <c r="R4" s="121"/>
      <c r="T4" s="151">
        <f t="shared" si="5"/>
        <v>45184</v>
      </c>
      <c r="U4" s="124">
        <f t="shared" si="6"/>
        <v>47741</v>
      </c>
      <c r="V4" s="128">
        <f>I4</f>
        <v>9.0999999999999998E-2</v>
      </c>
      <c r="W4" s="121" t="s">
        <v>157</v>
      </c>
      <c r="X4" s="121" t="str">
        <f t="shared" si="7"/>
        <v>Năm</v>
      </c>
      <c r="Y4" s="121" cm="1">
        <f t="array" ref="Y4">_xlfn.IFS(X4="Quý",3,LEFT(X4,1)="6",6,X4="Năm",12,X4="Cuối kỳ",1)</f>
        <v>12</v>
      </c>
      <c r="Z4" s="124">
        <f>O4</f>
        <v>45223</v>
      </c>
      <c r="AA4" s="174">
        <f>SUMIFS('Mua bán - filtered'!N:N,'Mua bán - filtered'!A:A,'Amortised cost 31.12.2023'!B4)</f>
        <v>1508356164.3835616</v>
      </c>
      <c r="AB4" s="152">
        <f t="shared" si="8"/>
        <v>7</v>
      </c>
      <c r="AC4" s="126">
        <f t="shared" si="9"/>
        <v>0</v>
      </c>
      <c r="AD4" s="126"/>
      <c r="AE4" s="151">
        <v>45223</v>
      </c>
      <c r="AF4" s="124">
        <v>45240</v>
      </c>
      <c r="AG4" s="124">
        <v>45550</v>
      </c>
      <c r="AH4" s="124">
        <v>45915</v>
      </c>
      <c r="AI4" s="124">
        <f t="shared" ref="AI4:AK4" si="16">EDATE(AH4,12)</f>
        <v>46280</v>
      </c>
      <c r="AJ4" s="124">
        <f t="shared" si="16"/>
        <v>46645</v>
      </c>
      <c r="AK4" s="124">
        <f t="shared" si="16"/>
        <v>47011</v>
      </c>
      <c r="AL4" s="124">
        <f>EDATE(AK4,12)</f>
        <v>47376</v>
      </c>
      <c r="AM4" s="124">
        <f>EDATE(AL4,12)</f>
        <v>47741</v>
      </c>
      <c r="AN4" s="124"/>
      <c r="AO4" s="124"/>
      <c r="AP4" s="124"/>
      <c r="AQ4" s="124"/>
      <c r="AR4" s="124"/>
      <c r="AS4" s="124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W4" s="137">
        <f t="shared" si="10"/>
        <v>0</v>
      </c>
      <c r="BY4" s="156">
        <v>-50331500000</v>
      </c>
      <c r="BZ4" s="157">
        <v>-50529000000</v>
      </c>
      <c r="CA4" s="157">
        <f>$H$4*$I$4</f>
        <v>9100000000</v>
      </c>
      <c r="CB4" s="157">
        <f t="shared" ref="CB4:CF4" si="17">$H$4*$I$4</f>
        <v>9100000000</v>
      </c>
      <c r="CC4" s="157">
        <f t="shared" si="17"/>
        <v>9100000000</v>
      </c>
      <c r="CD4" s="157">
        <f t="shared" si="17"/>
        <v>9100000000</v>
      </c>
      <c r="CE4" s="157">
        <f t="shared" si="17"/>
        <v>9100000000</v>
      </c>
      <c r="CF4" s="157">
        <f t="shared" si="17"/>
        <v>9100000000</v>
      </c>
      <c r="CG4" s="157">
        <f>$H$4*$I$4+H4</f>
        <v>109100000000</v>
      </c>
      <c r="CH4" s="135"/>
      <c r="CI4" s="135"/>
      <c r="CJ4" s="158"/>
      <c r="CK4" s="5"/>
      <c r="CN4" s="143"/>
      <c r="DD4" s="152"/>
      <c r="DQ4" s="128">
        <f t="shared" si="11"/>
        <v>4.8193299770354914E-4</v>
      </c>
      <c r="DR4" s="248">
        <f t="shared" si="12"/>
        <v>9.1481932997703547E-2</v>
      </c>
      <c r="DS4" s="250"/>
      <c r="DT4" s="160">
        <f t="shared" si="13"/>
        <v>50331500000</v>
      </c>
      <c r="DU4" s="135">
        <f t="shared" ref="DU4:DU12" si="18">DT4*(1+$DR4)^((AF4-AE4)/365)-BZ4</f>
        <v>101066122177.75439</v>
      </c>
      <c r="DV4" s="135">
        <f t="shared" ref="DV4:DV12" si="19">DU4*(1+$DR4)^((AG4-AF4)/365)-CA4</f>
        <v>99766342478.446503</v>
      </c>
      <c r="DW4" s="135">
        <f t="shared" ref="DW4:DW12" si="20">DV4*(1+$DR4)^((AH4-AG4)/365)-CB4</f>
        <v>99793160336.485687</v>
      </c>
      <c r="DX4" s="135">
        <f t="shared" ref="DX4:DX12" si="21">DW4*(1+$DR4)^((AI4-AH4)/365)-CC4</f>
        <v>99822431544.017151</v>
      </c>
      <c r="DY4" s="135">
        <f t="shared" ref="DY4:DY12" si="22">DX4*(1+$DR4)^((AJ4-AI4)/365)-CD4</f>
        <v>99854380538.194763</v>
      </c>
      <c r="DZ4" s="135">
        <f t="shared" ref="DZ4:DZ12" si="23">DY4*(1+$DR4)^((AK4-AJ4)/365)-CE4</f>
        <v>99915393835.646332</v>
      </c>
      <c r="EA4" s="135">
        <f t="shared" ref="EA4:EA12" si="24">DZ4*(1+$DR4)^((AL4-AK4)/365)-CF4</f>
        <v>99955847199.958084</v>
      </c>
      <c r="EB4" s="135">
        <f t="shared" ref="EB4:EB12" si="25">EA4*(1+$DR4)^((AM4-AL4)/365)-CG4</f>
        <v>1316.2333374023438</v>
      </c>
      <c r="EC4" s="135">
        <f t="shared" ref="EC4:EC12" si="26">EB4*(1+$DR4)^((AN4-AM4)/365)-CH4</f>
        <v>1.4024007170660973E-2</v>
      </c>
      <c r="ED4" s="135">
        <f t="shared" ref="ED4:ED12" si="27">EC4*(1+$DR4)^((AO4-AN4)/365)-CI4</f>
        <v>1.4024007170660973E-2</v>
      </c>
      <c r="EE4" s="135">
        <f t="shared" ref="EE4:EE12" si="28">ED4*(1+$DR4)^((AP4-AO4)/365)-CJ4</f>
        <v>1.4024007170660973E-2</v>
      </c>
      <c r="EF4" s="135">
        <f t="shared" ref="EF4:EF12" si="29">EE4*(1+$DR4)^((AQ4-AP4)/365)-CK4</f>
        <v>1.4024007170660973E-2</v>
      </c>
      <c r="EG4" s="135">
        <f t="shared" ref="EG4:EG12" si="30">EF4*(1+$DR4)^((AR4-AQ4)/365)-CL4</f>
        <v>1.4024007170660973E-2</v>
      </c>
      <c r="EH4" s="135">
        <f>EG4*(1+$DR4)^((AS3-AR4)/365)-CM4</f>
        <v>718.0147486485846</v>
      </c>
      <c r="EI4" s="135">
        <f>EH4*(1+$DR4)^((AT4-AS3)/365)-CN4</f>
        <v>1.4024007170660973E-2</v>
      </c>
      <c r="EJ4" s="135">
        <f t="shared" ref="EJ4:EJ12" si="31">EI4*(1+$DR4)^((AU4-AT4)/365)-CO4</f>
        <v>1.4024007170660973E-2</v>
      </c>
      <c r="EK4" s="135">
        <f t="shared" ref="EK4:EK12" si="32">EJ4*(1+$DR4)^((AV4-AU4)/365)-CP4</f>
        <v>1.4024007170660973E-2</v>
      </c>
      <c r="EL4" s="135">
        <f t="shared" ref="EL4:EL12" si="33">EK4*(1+$DR4)^((AW4-AV4)/365)-CQ4</f>
        <v>1.4024007170660973E-2</v>
      </c>
      <c r="EM4" s="135">
        <f t="shared" ref="EM4:EM12" si="34">EL4*(1+$DR4)^((AX4-AW4)/365)-CR4</f>
        <v>1.4024007170660973E-2</v>
      </c>
      <c r="EN4" s="135">
        <f t="shared" ref="EN4:EN12" si="35">EM4*(1+$DR4)^((AY4-AX4)/365)-CS4</f>
        <v>1.4024007170660973E-2</v>
      </c>
      <c r="EO4" s="135">
        <f t="shared" ref="EO4:EO12" si="36">EN4*(1+$DR4)^((AZ4-AY4)/365)-CT4</f>
        <v>1.4024007170660973E-2</v>
      </c>
      <c r="EP4" s="135">
        <f t="shared" ref="EP4:EP12" si="37">EO4*(1+$DR4)^((BA4-AZ4)/365)-CU4</f>
        <v>1.4024007170660973E-2</v>
      </c>
      <c r="EQ4" s="135">
        <f t="shared" ref="EQ4:EQ12" si="38">EP4*(1+$DR4)^((BB4-BA4)/365)-CV4</f>
        <v>1.4024007170660973E-2</v>
      </c>
      <c r="ER4" s="135">
        <f t="shared" ref="ER4:ER12" si="39">EQ4*(1+$DR4)^((BC4-BB4)/365)-CW4</f>
        <v>1.4024007170660973E-2</v>
      </c>
      <c r="ES4" s="135">
        <f t="shared" ref="ES4:ES12" si="40">ER4*(1+$DR4)^((BD4-BC4)/365)-CX4</f>
        <v>1.4024007170660973E-2</v>
      </c>
      <c r="ET4" s="135">
        <f t="shared" ref="ET4:ET12" si="41">ES4*(1+$DR4)^((BE4-BD4)/365)-CY4</f>
        <v>1.4024007170660973E-2</v>
      </c>
      <c r="EU4" s="135">
        <f t="shared" ref="EU4:EU12" si="42">ET4*(1+$DR4)^((BF4-BE4)/365)-CZ4</f>
        <v>1.4024007170660973E-2</v>
      </c>
      <c r="EV4" s="135">
        <f t="shared" ref="EV4:EV12" si="43">EU4*(1+$DR4)^((BG4-BF4)/365)-DA4</f>
        <v>1.4024007170660973E-2</v>
      </c>
      <c r="EW4" s="135">
        <f t="shared" ref="EW4:EW12" si="44">EV4*(1+$DR4)^((BH4-BG4)/365)-DB4</f>
        <v>1.4024007170660973E-2</v>
      </c>
      <c r="EX4" s="135">
        <f t="shared" ref="EX4:EX12" si="45">EW4*(1+$DR4)^((BI4-BH4)/365)-DC4</f>
        <v>1.4024007170660973E-2</v>
      </c>
      <c r="EY4" s="135">
        <f t="shared" ref="EY4:EY12" si="46">EX4*(1+$DR4)^((BJ4-BI4)/365)-DD4</f>
        <v>1.4024007170660973E-2</v>
      </c>
      <c r="EZ4" s="135">
        <f t="shared" ref="EZ4:EZ12" si="47">EY4*(1+$DR4)^((BK4-BJ4)/365)-DE4</f>
        <v>1.4024007170660973E-2</v>
      </c>
      <c r="FA4" s="135">
        <f t="shared" ref="FA4:FA12" si="48">EZ4*(1+$DR4)^((BL4-BK4)/365)-DF4</f>
        <v>1.4024007170660973E-2</v>
      </c>
      <c r="FB4" s="135">
        <f t="shared" ref="FB4:FB12" si="49">FA4*(1+$DR4)^((BM4-BL4)/365)-DG4</f>
        <v>1.4024007170660973E-2</v>
      </c>
      <c r="FC4" s="135">
        <f t="shared" ref="FC4:FC12" si="50">FB4*(1+$DR4)^((BN4-BM4)/365)-DH4</f>
        <v>1.4024007170660973E-2</v>
      </c>
      <c r="FD4" s="135">
        <f t="shared" ref="FD4:FD12" si="51">FC4*(1+$DR4)^((BO4-BN4)/365)-DI4</f>
        <v>1.4024007170660973E-2</v>
      </c>
      <c r="FE4" s="135">
        <f t="shared" ref="FE4:FE12" si="52">FD4*(1+$DR4)^((BP4-BO4)/365)-DJ4</f>
        <v>1.4024007170660973E-2</v>
      </c>
      <c r="FF4" s="135">
        <f t="shared" ref="FF4:FF12" si="53">FE4*(1+$DR4)^((BQ4-BP4)/365)-DK4</f>
        <v>1.4024007170660973E-2</v>
      </c>
      <c r="FG4" s="135">
        <f t="shared" ref="FG4:FG12" si="54">FF4*(1+$DR4)^((BR4-BQ4)/365)-DL4</f>
        <v>1.4024007170660973E-2</v>
      </c>
      <c r="FH4" s="135">
        <f t="shared" ref="FH4:FH12" si="55">FG4*(1+$DR4)^((BS4-BR4)/365)-DM4</f>
        <v>1.4024007170660973E-2</v>
      </c>
      <c r="FI4" s="135">
        <f t="shared" ref="FI4:FI12" si="56">FH4*(1+$DR4)^((BT4-BS4)/365)-DN4</f>
        <v>1.4024007170660973E-2</v>
      </c>
      <c r="FJ4" s="135">
        <f t="shared" ref="FJ4:FJ12" si="57">FI4*(1+$DR4)^((BU4-BT4)/365)-DO4</f>
        <v>1.4024007170660973E-2</v>
      </c>
      <c r="FK4" s="137">
        <f t="shared" ref="FK4:FK12" si="58">FJ4*(1+$DR4)^((BV4-BU4)/365)-DP4</f>
        <v>1.4024007170660973E-2</v>
      </c>
      <c r="FM4" s="134">
        <f>FM3+1</f>
        <v>2</v>
      </c>
      <c r="FN4" s="164">
        <v>1</v>
      </c>
      <c r="FO4" s="124">
        <f>HLOOKUP(FN4,$AE$2:BW4,FM4+1,0)</f>
        <v>45240</v>
      </c>
      <c r="FP4" s="135">
        <f>HLOOKUP(FN4,$DT$2:FK4,FM4+1,0)</f>
        <v>101066122177.75439</v>
      </c>
      <c r="FQ4" s="180">
        <f t="shared" ref="FQ4:FQ29" si="59">FP4*(1+V4)^(($FP$1-FO4)/365)</f>
        <v>102303550086.46312</v>
      </c>
      <c r="FR4" s="135">
        <f t="shared" ref="FR4:FR29" si="60">F4+AA4</f>
        <v>102368856164.38356</v>
      </c>
      <c r="FS4" s="181">
        <f t="shared" ref="FS4:FS29" si="61">FR4-FQ4</f>
        <v>65306077.920440674</v>
      </c>
      <c r="FT4" s="165">
        <f t="shared" si="15"/>
        <v>0</v>
      </c>
    </row>
    <row r="5" spans="1:176">
      <c r="A5" s="134" t="s">
        <v>83</v>
      </c>
      <c r="B5" s="121" t="s">
        <v>18</v>
      </c>
      <c r="C5" s="3" t="s">
        <v>18</v>
      </c>
      <c r="D5" s="3" t="s">
        <v>14</v>
      </c>
      <c r="E5" s="135">
        <v>2000</v>
      </c>
      <c r="F5" s="135">
        <f>SUMIFS('121'!E:E,'121'!B:B,'Amortised cost 31.12.2023'!C5)</f>
        <v>20000000000</v>
      </c>
      <c r="G5" s="135">
        <v>10000000</v>
      </c>
      <c r="H5" s="135">
        <f t="shared" si="3"/>
        <v>20000000000</v>
      </c>
      <c r="I5" s="136">
        <v>7.4999999999999997E-2</v>
      </c>
      <c r="J5" s="135"/>
      <c r="K5" s="124">
        <v>44449</v>
      </c>
      <c r="L5" s="124">
        <v>47006</v>
      </c>
      <c r="M5" s="121" t="s">
        <v>17</v>
      </c>
      <c r="N5" s="124">
        <v>44449</v>
      </c>
      <c r="O5" s="124">
        <v>45179</v>
      </c>
      <c r="P5" s="137">
        <f>SUMIFS('Mua bán - filtered'!N:N,'Mua bán - filtered'!A:A,B5)</f>
        <v>464383561.6438356</v>
      </c>
      <c r="R5" s="121" t="s">
        <v>158</v>
      </c>
      <c r="T5" s="151">
        <f t="shared" si="5"/>
        <v>44449</v>
      </c>
      <c r="U5" s="124">
        <f t="shared" si="6"/>
        <v>47006</v>
      </c>
      <c r="V5" s="128">
        <f>I5</f>
        <v>7.4999999999999997E-2</v>
      </c>
      <c r="W5" s="121" t="s">
        <v>159</v>
      </c>
      <c r="X5" s="121" t="str">
        <f t="shared" si="7"/>
        <v>Năm</v>
      </c>
      <c r="Y5" s="121" cm="1">
        <f t="array" ref="Y5">_xlfn.IFS(X5="Quý",3,LEFT(X5,1)="6",6,X5="Năm",12,X5="Cuối kỳ",1)</f>
        <v>12</v>
      </c>
      <c r="Z5" s="124">
        <f>O5</f>
        <v>45179</v>
      </c>
      <c r="AA5" s="174">
        <f>SUMIFS('Mua bán - filtered'!N:N,'Mua bán - filtered'!A:A,'Amortised cost 31.12.2023'!B5)</f>
        <v>464383561.6438356</v>
      </c>
      <c r="AB5" s="152">
        <f t="shared" si="8"/>
        <v>7</v>
      </c>
      <c r="AC5" s="126">
        <f t="shared" si="9"/>
        <v>0</v>
      </c>
      <c r="AD5" s="126"/>
      <c r="AE5" s="151">
        <v>44449</v>
      </c>
      <c r="AF5" s="124">
        <v>44474</v>
      </c>
      <c r="AG5" s="124">
        <v>44476</v>
      </c>
      <c r="AH5" s="124">
        <v>44477</v>
      </c>
      <c r="AI5" s="124">
        <v>44480</v>
      </c>
      <c r="AJ5" s="124">
        <v>44481</v>
      </c>
      <c r="AK5" s="124">
        <v>44482</v>
      </c>
      <c r="AL5" s="124">
        <v>44483</v>
      </c>
      <c r="AM5" s="124">
        <v>44484</v>
      </c>
      <c r="AN5" s="124">
        <v>44487</v>
      </c>
      <c r="AO5" s="124">
        <v>44816</v>
      </c>
      <c r="AP5" s="124">
        <v>44903</v>
      </c>
      <c r="AQ5" s="124">
        <v>45042</v>
      </c>
      <c r="AR5" s="124">
        <v>45180</v>
      </c>
      <c r="AS5" s="124">
        <v>45181</v>
      </c>
      <c r="AT5" s="124">
        <v>45239</v>
      </c>
      <c r="AU5" s="124">
        <v>45327</v>
      </c>
      <c r="AV5" s="124"/>
      <c r="AW5" s="124"/>
      <c r="AX5" s="124"/>
      <c r="AY5" s="124"/>
      <c r="AZ5" s="124"/>
      <c r="BA5" s="124"/>
      <c r="BB5" s="124"/>
      <c r="BC5" s="124"/>
      <c r="BW5" s="137">
        <f t="shared" si="10"/>
        <v>-1679</v>
      </c>
      <c r="BY5" s="159">
        <v>-70000000000</v>
      </c>
      <c r="BZ5" s="333">
        <v>48539017380</v>
      </c>
      <c r="CA5" s="143">
        <v>-7238480400</v>
      </c>
      <c r="CB5" s="143">
        <v>-5631038000</v>
      </c>
      <c r="CC5" s="143">
        <v>-6841726840</v>
      </c>
      <c r="CD5" s="143">
        <v>-1509501300</v>
      </c>
      <c r="CE5" s="143">
        <v>-4328088460</v>
      </c>
      <c r="CF5" s="143">
        <v>-11074031100</v>
      </c>
      <c r="CG5" s="143">
        <v>-5236026120</v>
      </c>
      <c r="CH5" s="143">
        <v>-6750396730</v>
      </c>
      <c r="CI5" s="143">
        <v>5057500000</v>
      </c>
      <c r="CJ5" s="143">
        <v>48390000000</v>
      </c>
      <c r="CK5" s="143">
        <v>-50868580000</v>
      </c>
      <c r="CL5" s="157">
        <v>3650000000</v>
      </c>
      <c r="CM5" s="143">
        <v>1460000000</v>
      </c>
      <c r="CN5" s="143">
        <v>49366440000</v>
      </c>
      <c r="CO5" s="143">
        <v>20665548000</v>
      </c>
      <c r="CP5" s="143"/>
      <c r="CQ5" s="143"/>
      <c r="CR5" s="143"/>
      <c r="CS5" s="143"/>
      <c r="DD5" s="152"/>
      <c r="DQ5" s="128">
        <f t="shared" si="11"/>
        <v>-1.8887004256248452E-2</v>
      </c>
      <c r="DR5" s="248">
        <f t="shared" si="12"/>
        <v>5.6112995743751545E-2</v>
      </c>
      <c r="DS5" s="250"/>
      <c r="DT5" s="160">
        <f t="shared" si="13"/>
        <v>70000000000</v>
      </c>
      <c r="DU5" s="135">
        <f t="shared" si="18"/>
        <v>21723230365.728149</v>
      </c>
      <c r="DV5" s="135">
        <f t="shared" si="19"/>
        <v>28968210278.887901</v>
      </c>
      <c r="DW5" s="135">
        <f t="shared" si="20"/>
        <v>34603581547.461166</v>
      </c>
      <c r="DX5" s="135">
        <f t="shared" si="21"/>
        <v>41460839451.567497</v>
      </c>
      <c r="DY5" s="135">
        <f t="shared" si="22"/>
        <v>42976542755.449928</v>
      </c>
      <c r="DZ5" s="135">
        <f t="shared" si="23"/>
        <v>47311059948.889687</v>
      </c>
      <c r="EA5" s="135">
        <f t="shared" si="24"/>
        <v>58392168169.887871</v>
      </c>
      <c r="EB5" s="135">
        <f t="shared" si="25"/>
        <v>63636929000.966652</v>
      </c>
      <c r="EC5" s="135">
        <f t="shared" si="26"/>
        <v>70415887780.894592</v>
      </c>
      <c r="ED5" s="135">
        <f t="shared" si="27"/>
        <v>68910263441.749756</v>
      </c>
      <c r="EE5" s="135">
        <f t="shared" si="28"/>
        <v>21422859532.085556</v>
      </c>
      <c r="EF5" s="135">
        <f t="shared" si="29"/>
        <v>72741505570.247467</v>
      </c>
      <c r="EG5" s="135">
        <f t="shared" si="30"/>
        <v>70608600587.452347</v>
      </c>
      <c r="EH5" s="135">
        <f t="shared" ref="EH5:EI12" si="62">EG5*(1+$DR5)^((AS5-AR5)/365)-CM5</f>
        <v>69159162718.38768</v>
      </c>
      <c r="EI5" s="135">
        <f t="shared" si="62"/>
        <v>20395316136.416077</v>
      </c>
      <c r="EJ5" s="135">
        <f t="shared" si="31"/>
        <v>-377.45983123779297</v>
      </c>
      <c r="EK5" s="135">
        <f t="shared" si="32"/>
        <v>-0.42897350114985455</v>
      </c>
      <c r="EL5" s="135">
        <f t="shared" si="33"/>
        <v>-0.42897350114985455</v>
      </c>
      <c r="EM5" s="135">
        <f t="shared" si="34"/>
        <v>-0.42897350114985455</v>
      </c>
      <c r="EN5" s="135">
        <f t="shared" si="35"/>
        <v>-0.42897350114985455</v>
      </c>
      <c r="EO5" s="135">
        <f t="shared" si="36"/>
        <v>-0.42897350114985455</v>
      </c>
      <c r="EP5" s="135">
        <f t="shared" si="37"/>
        <v>-0.42897350114985455</v>
      </c>
      <c r="EQ5" s="135">
        <f t="shared" si="38"/>
        <v>-0.42897350114985455</v>
      </c>
      <c r="ER5" s="135">
        <f t="shared" si="39"/>
        <v>-0.42897350114985455</v>
      </c>
      <c r="ES5" s="135">
        <f t="shared" si="40"/>
        <v>-0.42897350114985455</v>
      </c>
      <c r="ET5" s="135">
        <f t="shared" si="41"/>
        <v>-0.42897350114985455</v>
      </c>
      <c r="EU5" s="135">
        <f t="shared" si="42"/>
        <v>-0.42897350114985455</v>
      </c>
      <c r="EV5" s="135">
        <f t="shared" si="43"/>
        <v>-0.42897350114985455</v>
      </c>
      <c r="EW5" s="135">
        <f t="shared" si="44"/>
        <v>-0.42897350114985455</v>
      </c>
      <c r="EX5" s="135">
        <f t="shared" si="45"/>
        <v>-0.42897350114985455</v>
      </c>
      <c r="EY5" s="135">
        <f t="shared" si="46"/>
        <v>-0.42897350114985455</v>
      </c>
      <c r="EZ5" s="135">
        <f t="shared" si="47"/>
        <v>-0.42897350114985455</v>
      </c>
      <c r="FA5" s="135">
        <f t="shared" si="48"/>
        <v>-0.42897350114985455</v>
      </c>
      <c r="FB5" s="135">
        <f t="shared" si="49"/>
        <v>-0.42897350114985455</v>
      </c>
      <c r="FC5" s="135">
        <f t="shared" si="50"/>
        <v>-0.42897350114985455</v>
      </c>
      <c r="FD5" s="135">
        <f t="shared" si="51"/>
        <v>-0.42897350114985455</v>
      </c>
      <c r="FE5" s="135">
        <f t="shared" si="52"/>
        <v>-0.42897350114985455</v>
      </c>
      <c r="FF5" s="135">
        <f t="shared" si="53"/>
        <v>-0.42897350114985455</v>
      </c>
      <c r="FG5" s="135">
        <f t="shared" si="54"/>
        <v>-0.42897350114985455</v>
      </c>
      <c r="FH5" s="135">
        <f t="shared" si="55"/>
        <v>-0.42897350114985455</v>
      </c>
      <c r="FI5" s="135">
        <f t="shared" si="56"/>
        <v>-0.42897350114985455</v>
      </c>
      <c r="FJ5" s="135">
        <f t="shared" si="57"/>
        <v>-0.42897350114985455</v>
      </c>
      <c r="FK5" s="137">
        <f t="shared" si="58"/>
        <v>-0.42897350114985455</v>
      </c>
      <c r="FM5" s="134">
        <f t="shared" ref="FM5:FM29" si="63">FM4+1</f>
        <v>3</v>
      </c>
      <c r="FN5" s="164">
        <v>15</v>
      </c>
      <c r="FO5" s="124">
        <f>HLOOKUP(FN5,$AE$2:BW5,FM5+1,0)</f>
        <v>45239</v>
      </c>
      <c r="FP5" s="135">
        <f>HLOOKUP(FN5,$DT$2:FK5,FM5+1,0)</f>
        <v>20395316136.416077</v>
      </c>
      <c r="FQ5" s="180">
        <f t="shared" si="59"/>
        <v>20606539788.430408</v>
      </c>
      <c r="FR5" s="126">
        <f t="shared" si="60"/>
        <v>20464383561.643837</v>
      </c>
      <c r="FS5" s="181">
        <f t="shared" si="61"/>
        <v>-142156226.7865715</v>
      </c>
      <c r="FT5" s="165">
        <f t="shared" si="15"/>
        <v>0</v>
      </c>
    </row>
    <row r="6" spans="1:176">
      <c r="A6" s="134" t="s">
        <v>83</v>
      </c>
      <c r="B6" s="121" t="s">
        <v>19</v>
      </c>
      <c r="C6" s="3" t="s">
        <v>19</v>
      </c>
      <c r="D6" s="3" t="s">
        <v>14</v>
      </c>
      <c r="E6" s="135">
        <v>3000</v>
      </c>
      <c r="F6" s="135">
        <f>SUMIFS('121'!E:E,'121'!B:B,'Amortised cost 31.12.2023'!C6)</f>
        <v>30000000000</v>
      </c>
      <c r="G6" s="135">
        <v>10000000</v>
      </c>
      <c r="H6" s="135">
        <f t="shared" si="3"/>
        <v>30000000000</v>
      </c>
      <c r="I6" s="136">
        <v>7.4999999999999997E-2</v>
      </c>
      <c r="J6" s="136"/>
      <c r="K6" s="124">
        <v>44459</v>
      </c>
      <c r="L6" s="124">
        <v>47016</v>
      </c>
      <c r="M6" s="121" t="s">
        <v>17</v>
      </c>
      <c r="N6" s="124">
        <v>44459</v>
      </c>
      <c r="O6" s="124">
        <v>45189</v>
      </c>
      <c r="P6" s="141">
        <f t="shared" ref="P6" si="64">H6*I6*($O$1-O6+1)/365</f>
        <v>634931506.84931505</v>
      </c>
      <c r="R6" s="121" t="s">
        <v>158</v>
      </c>
      <c r="T6" s="151">
        <f t="shared" si="5"/>
        <v>44459</v>
      </c>
      <c r="U6" s="124">
        <f t="shared" si="6"/>
        <v>47016</v>
      </c>
      <c r="V6" s="128">
        <f>I6</f>
        <v>7.4999999999999997E-2</v>
      </c>
      <c r="W6" s="121" t="s">
        <v>160</v>
      </c>
      <c r="X6" s="121" t="str">
        <f t="shared" si="7"/>
        <v>Năm</v>
      </c>
      <c r="Y6" s="121" cm="1">
        <f t="array" ref="Y6">_xlfn.IFS(X6="Quý",3,LEFT(X6,1)="6",6,X6="Năm",12,X6="Cuối kỳ",1)</f>
        <v>12</v>
      </c>
      <c r="Z6" s="124">
        <f>O6</f>
        <v>45189</v>
      </c>
      <c r="AA6" s="174">
        <f>H6*I6*($O$1-O6+1)/365</f>
        <v>634931506.84931505</v>
      </c>
      <c r="AB6" s="152">
        <f t="shared" si="8"/>
        <v>7</v>
      </c>
      <c r="AC6" s="126">
        <f t="shared" si="9"/>
        <v>0</v>
      </c>
      <c r="AD6" s="126"/>
      <c r="AE6" s="151">
        <v>44459</v>
      </c>
      <c r="AF6" s="124">
        <v>44467</v>
      </c>
      <c r="AG6" s="124">
        <v>44469</v>
      </c>
      <c r="AH6" s="124">
        <v>44470</v>
      </c>
      <c r="AI6" s="124">
        <v>44824</v>
      </c>
      <c r="AJ6" s="124">
        <v>45189</v>
      </c>
      <c r="AK6" s="124">
        <v>45327</v>
      </c>
      <c r="AL6" s="124"/>
      <c r="AM6" s="124"/>
      <c r="AN6" s="124"/>
      <c r="AO6" s="124"/>
      <c r="AP6" s="124"/>
      <c r="AQ6" s="124"/>
      <c r="AR6" s="124"/>
      <c r="AS6" s="124"/>
      <c r="AT6" s="124"/>
      <c r="AU6" s="124"/>
      <c r="AV6" s="124"/>
      <c r="AW6" s="124"/>
      <c r="AX6" s="124"/>
      <c r="AY6" s="124"/>
      <c r="AZ6" s="124"/>
      <c r="BA6" s="124"/>
      <c r="BB6" s="124"/>
      <c r="BC6" s="124"/>
      <c r="BW6" s="137">
        <f t="shared" si="10"/>
        <v>-1689</v>
      </c>
      <c r="BY6" s="156">
        <v>-10400000000</v>
      </c>
      <c r="BZ6" s="157">
        <v>-4206651120</v>
      </c>
      <c r="CA6" s="157">
        <v>-9418607300</v>
      </c>
      <c r="CB6" s="157">
        <v>-6013064400</v>
      </c>
      <c r="CC6" s="129">
        <v>2167500000</v>
      </c>
      <c r="CD6" s="5">
        <v>2190000000</v>
      </c>
      <c r="CE6" s="237">
        <v>30940458000</v>
      </c>
      <c r="CF6" s="5"/>
      <c r="CG6" s="5"/>
      <c r="CH6" s="5"/>
      <c r="CI6" s="5"/>
      <c r="CL6" s="126"/>
      <c r="DD6" s="152"/>
      <c r="DQ6" s="128">
        <f t="shared" si="11"/>
        <v>-5.9017241001127485E-4</v>
      </c>
      <c r="DR6" s="248">
        <f t="shared" si="12"/>
        <v>7.4409827589988722E-2</v>
      </c>
      <c r="DS6" s="250"/>
      <c r="DT6" s="160">
        <f t="shared" si="13"/>
        <v>10400000000</v>
      </c>
      <c r="DU6" s="135">
        <f t="shared" si="18"/>
        <v>14623023966.80748</v>
      </c>
      <c r="DV6" s="135">
        <f t="shared" si="19"/>
        <v>24047383173.416546</v>
      </c>
      <c r="DW6" s="135">
        <f t="shared" si="20"/>
        <v>30065176578.287899</v>
      </c>
      <c r="DX6" s="135">
        <f t="shared" si="21"/>
        <v>30065027510.851395</v>
      </c>
      <c r="DY6" s="135">
        <f t="shared" si="22"/>
        <v>30112161024.422115</v>
      </c>
      <c r="DZ6" s="135">
        <f t="shared" si="23"/>
        <v>-183.88155746459961</v>
      </c>
      <c r="EA6" s="135">
        <f t="shared" si="24"/>
        <v>-2.4759394230184053E-2</v>
      </c>
      <c r="EB6" s="135">
        <f t="shared" si="25"/>
        <v>-2.4759394230184053E-2</v>
      </c>
      <c r="EC6" s="135">
        <f t="shared" si="26"/>
        <v>-2.4759394230184053E-2</v>
      </c>
      <c r="ED6" s="135">
        <f t="shared" si="27"/>
        <v>-2.4759394230184053E-2</v>
      </c>
      <c r="EE6" s="135">
        <f t="shared" si="28"/>
        <v>-2.4759394230184053E-2</v>
      </c>
      <c r="EF6" s="135">
        <f t="shared" si="29"/>
        <v>-2.4759394230184053E-2</v>
      </c>
      <c r="EG6" s="135">
        <f t="shared" si="30"/>
        <v>-2.4759394230184053E-2</v>
      </c>
      <c r="EH6" s="135">
        <f t="shared" si="62"/>
        <v>-2.4759394230184053E-2</v>
      </c>
      <c r="EI6" s="135">
        <f t="shared" si="62"/>
        <v>-2.4759394230184053E-2</v>
      </c>
      <c r="EJ6" s="135">
        <f t="shared" si="31"/>
        <v>-2.4759394230184053E-2</v>
      </c>
      <c r="EK6" s="135">
        <f t="shared" si="32"/>
        <v>-2.4759394230184053E-2</v>
      </c>
      <c r="EL6" s="135">
        <f t="shared" si="33"/>
        <v>-2.4759394230184053E-2</v>
      </c>
      <c r="EM6" s="135">
        <f t="shared" si="34"/>
        <v>-2.4759394230184053E-2</v>
      </c>
      <c r="EN6" s="135">
        <f t="shared" si="35"/>
        <v>-2.4759394230184053E-2</v>
      </c>
      <c r="EO6" s="135">
        <f t="shared" si="36"/>
        <v>-2.4759394230184053E-2</v>
      </c>
      <c r="EP6" s="135">
        <f t="shared" si="37"/>
        <v>-2.4759394230184053E-2</v>
      </c>
      <c r="EQ6" s="135">
        <f t="shared" si="38"/>
        <v>-2.4759394230184053E-2</v>
      </c>
      <c r="ER6" s="135">
        <f t="shared" si="39"/>
        <v>-2.4759394230184053E-2</v>
      </c>
      <c r="ES6" s="135">
        <f t="shared" si="40"/>
        <v>-2.4759394230184053E-2</v>
      </c>
      <c r="ET6" s="135">
        <f t="shared" si="41"/>
        <v>-2.4759394230184053E-2</v>
      </c>
      <c r="EU6" s="135">
        <f t="shared" si="42"/>
        <v>-2.4759394230184053E-2</v>
      </c>
      <c r="EV6" s="135">
        <f t="shared" si="43"/>
        <v>-2.4759394230184053E-2</v>
      </c>
      <c r="EW6" s="135">
        <f t="shared" si="44"/>
        <v>-2.4759394230184053E-2</v>
      </c>
      <c r="EX6" s="135">
        <f t="shared" si="45"/>
        <v>-2.4759394230184053E-2</v>
      </c>
      <c r="EY6" s="135">
        <f t="shared" si="46"/>
        <v>-2.4759394230184053E-2</v>
      </c>
      <c r="EZ6" s="135">
        <f t="shared" si="47"/>
        <v>-2.4759394230184053E-2</v>
      </c>
      <c r="FA6" s="135">
        <f t="shared" si="48"/>
        <v>-2.4759394230184053E-2</v>
      </c>
      <c r="FB6" s="135">
        <f t="shared" si="49"/>
        <v>-2.4759394230184053E-2</v>
      </c>
      <c r="FC6" s="135">
        <f t="shared" si="50"/>
        <v>-2.4759394230184053E-2</v>
      </c>
      <c r="FD6" s="135">
        <f t="shared" si="51"/>
        <v>-2.4759394230184053E-2</v>
      </c>
      <c r="FE6" s="135">
        <f t="shared" si="52"/>
        <v>-2.4759394230184053E-2</v>
      </c>
      <c r="FF6" s="135">
        <f t="shared" si="53"/>
        <v>-2.4759394230184053E-2</v>
      </c>
      <c r="FG6" s="135">
        <f t="shared" si="54"/>
        <v>-2.4759394230184053E-2</v>
      </c>
      <c r="FH6" s="135">
        <f t="shared" si="55"/>
        <v>-2.4759394230184053E-2</v>
      </c>
      <c r="FI6" s="135">
        <f t="shared" si="56"/>
        <v>-2.4759394230184053E-2</v>
      </c>
      <c r="FJ6" s="135">
        <f t="shared" si="57"/>
        <v>-2.4759394230184053E-2</v>
      </c>
      <c r="FK6" s="137">
        <f t="shared" si="58"/>
        <v>-2.4759394230184053E-2</v>
      </c>
      <c r="FM6" s="134">
        <f t="shared" si="63"/>
        <v>4</v>
      </c>
      <c r="FN6" s="164">
        <v>5</v>
      </c>
      <c r="FO6" s="124">
        <f>HLOOKUP(FN6,$AE$2:BW6,FM6+1,0)</f>
        <v>45189</v>
      </c>
      <c r="FP6" s="135">
        <f>HLOOKUP(FN6,$DT$2:FK6,FM6+1,0)</f>
        <v>30112161024.422115</v>
      </c>
      <c r="FQ6" s="180">
        <f t="shared" si="59"/>
        <v>30726923842.679722</v>
      </c>
      <c r="FR6" s="126">
        <f t="shared" si="60"/>
        <v>30634931506.849316</v>
      </c>
      <c r="FS6" s="181">
        <f t="shared" si="61"/>
        <v>-91992335.830406189</v>
      </c>
      <c r="FT6" s="165">
        <f t="shared" si="15"/>
        <v>0</v>
      </c>
    </row>
    <row r="7" spans="1:176">
      <c r="A7" s="134" t="s">
        <v>83</v>
      </c>
      <c r="B7" s="121" t="s">
        <v>20</v>
      </c>
      <c r="C7" s="3" t="s">
        <v>20</v>
      </c>
      <c r="D7" s="3" t="s">
        <v>14</v>
      </c>
      <c r="E7" s="140">
        <v>58996</v>
      </c>
      <c r="F7" s="140">
        <f>SUMIFS('121'!E:E,'121'!B:B,'Amortised cost 31.12.2023'!C7)</f>
        <v>5899600000</v>
      </c>
      <c r="G7" s="140">
        <v>100000</v>
      </c>
      <c r="H7" s="140">
        <f t="shared" si="3"/>
        <v>5899600000</v>
      </c>
      <c r="I7" s="256">
        <v>0.105</v>
      </c>
      <c r="J7" s="229"/>
      <c r="K7" s="124">
        <v>44477</v>
      </c>
      <c r="L7" s="254">
        <v>45732</v>
      </c>
      <c r="M7" s="121" t="s">
        <v>161</v>
      </c>
      <c r="N7" s="124">
        <v>44565</v>
      </c>
      <c r="O7" s="124">
        <v>44832</v>
      </c>
      <c r="P7" s="141">
        <f>H7*I7*($N$1-O7)/365</f>
        <v>286817539.72602737</v>
      </c>
      <c r="Q7" s="13">
        <v>45001</v>
      </c>
      <c r="R7" s="121"/>
      <c r="S7" s="121"/>
      <c r="T7" s="151">
        <f t="shared" si="5"/>
        <v>44477</v>
      </c>
      <c r="U7" s="124">
        <f t="shared" si="6"/>
        <v>45732</v>
      </c>
      <c r="V7" s="128">
        <v>0.105</v>
      </c>
      <c r="W7" s="121" t="s">
        <v>162</v>
      </c>
      <c r="X7" s="121" t="str">
        <f t="shared" si="7"/>
        <v>Cuối kỳ</v>
      </c>
      <c r="Y7" s="121" cm="1">
        <f t="array" ref="Y7">_xlfn.IFS(X7="Quý",3,LEFT(X7,1)="6",6,X7="Năm",12,X7="Cuối kỳ",1)</f>
        <v>1</v>
      </c>
      <c r="Z7" s="124">
        <v>44832</v>
      </c>
      <c r="AA7" s="175">
        <f>H7*I7*($N$1-O7)/365</f>
        <v>286817539.72602737</v>
      </c>
      <c r="AB7" s="152">
        <f t="shared" si="8"/>
        <v>1</v>
      </c>
      <c r="AC7" s="126">
        <f t="shared" si="9"/>
        <v>0</v>
      </c>
      <c r="AD7" s="126"/>
      <c r="AE7" s="151">
        <v>44488</v>
      </c>
      <c r="AF7" s="124">
        <v>44489</v>
      </c>
      <c r="AG7" s="124">
        <v>44490</v>
      </c>
      <c r="AH7" s="124">
        <v>44491</v>
      </c>
      <c r="AI7" s="124">
        <v>44494</v>
      </c>
      <c r="AJ7" s="124">
        <v>44495</v>
      </c>
      <c r="AK7" s="124">
        <v>44496</v>
      </c>
      <c r="AL7" s="124">
        <v>44497</v>
      </c>
      <c r="AM7" s="124">
        <v>44498</v>
      </c>
      <c r="AN7" s="124">
        <v>44501</v>
      </c>
      <c r="AO7" s="124">
        <v>44502</v>
      </c>
      <c r="AP7" s="124">
        <v>44504</v>
      </c>
      <c r="AQ7" s="124">
        <v>44505</v>
      </c>
      <c r="AR7" s="124">
        <v>44508</v>
      </c>
      <c r="AS7" s="124">
        <v>44565</v>
      </c>
      <c r="AT7" s="124">
        <v>44567</v>
      </c>
      <c r="AU7" s="124">
        <v>44649</v>
      </c>
      <c r="AV7" s="124">
        <v>44659</v>
      </c>
      <c r="AW7" s="124">
        <v>44832</v>
      </c>
      <c r="AX7" s="124">
        <v>44832</v>
      </c>
      <c r="AY7" s="124">
        <v>44832</v>
      </c>
      <c r="AZ7" s="124">
        <v>44844</v>
      </c>
      <c r="BA7" s="124">
        <v>44925</v>
      </c>
      <c r="BB7" s="124">
        <v>44925</v>
      </c>
      <c r="BC7" s="124">
        <v>45008</v>
      </c>
      <c r="BD7" s="124">
        <v>45008</v>
      </c>
      <c r="BE7" s="124">
        <v>45232</v>
      </c>
      <c r="BF7" s="124">
        <v>45232</v>
      </c>
      <c r="BG7" s="124">
        <v>45272</v>
      </c>
      <c r="BH7" s="124">
        <v>45272</v>
      </c>
      <c r="BI7" s="124">
        <v>45399</v>
      </c>
      <c r="BJ7" s="124">
        <v>45732</v>
      </c>
      <c r="BW7" s="141">
        <f>MAX(AE7:BJ7)-U7</f>
        <v>0</v>
      </c>
      <c r="BY7" s="172">
        <v>-2012080000</v>
      </c>
      <c r="BZ7" s="172">
        <v>-2213926000</v>
      </c>
      <c r="CA7" s="171">
        <v>-5033100000</v>
      </c>
      <c r="CB7" s="69">
        <v>-6041400000</v>
      </c>
      <c r="CC7" s="69">
        <v>-1007770000</v>
      </c>
      <c r="CD7" s="69">
        <v>-4032200000</v>
      </c>
      <c r="CE7" s="69">
        <v>-2520850000</v>
      </c>
      <c r="CF7" s="69">
        <v>6051780000</v>
      </c>
      <c r="CG7" s="171">
        <v>-8071360000</v>
      </c>
      <c r="CH7" s="69">
        <v>-7068460000</v>
      </c>
      <c r="CI7" s="140">
        <v>-3333231000</v>
      </c>
      <c r="CJ7" s="140">
        <v>1010640000</v>
      </c>
      <c r="CK7" s="140">
        <v>2021860000</v>
      </c>
      <c r="CL7" s="238">
        <v>-3035370000</v>
      </c>
      <c r="CM7" s="238">
        <v>-15379800000</v>
      </c>
      <c r="CN7" s="238">
        <v>-5129450000</v>
      </c>
      <c r="CO7" s="238">
        <v>1822397260</v>
      </c>
      <c r="CP7" s="238">
        <v>1047123288</v>
      </c>
      <c r="CQ7" s="238">
        <v>12177298630</v>
      </c>
      <c r="CR7" s="238">
        <v>21374509589</v>
      </c>
      <c r="CS7" s="238">
        <v>778093151</v>
      </c>
      <c r="CT7" s="238">
        <v>442208219</v>
      </c>
      <c r="CU7" s="238">
        <v>3765502857</v>
      </c>
      <c r="CV7" s="238">
        <v>2145666547</v>
      </c>
      <c r="CW7" s="238">
        <v>60667127</v>
      </c>
      <c r="CX7" s="140">
        <v>106167472</v>
      </c>
      <c r="CY7" s="140">
        <v>491300000</v>
      </c>
      <c r="CZ7" s="140">
        <v>280700000</v>
      </c>
      <c r="DA7" s="140">
        <v>3813300000</v>
      </c>
      <c r="DB7" s="140">
        <v>6673200000</v>
      </c>
      <c r="DC7" s="140">
        <v>90000000</v>
      </c>
      <c r="DD7" s="141">
        <f>H7*I7/365*170+H7*11.5%/365*731+H7</f>
        <v>7546881463.0136986</v>
      </c>
      <c r="DQ7" s="128">
        <f t="shared" si="11"/>
        <v>-1.5045203566551174E-2</v>
      </c>
      <c r="DR7" s="247">
        <f t="shared" si="12"/>
        <v>8.9954796433448822E-2</v>
      </c>
      <c r="DS7" s="250"/>
      <c r="DT7" s="161">
        <f t="shared" si="13"/>
        <v>2012080000</v>
      </c>
      <c r="DU7" s="140">
        <f t="shared" si="18"/>
        <v>4226480886.0977263</v>
      </c>
      <c r="DV7" s="140">
        <f t="shared" si="19"/>
        <v>9260578409.563549</v>
      </c>
      <c r="DW7" s="140">
        <f t="shared" si="20"/>
        <v>15304164068.157446</v>
      </c>
      <c r="DX7" s="140">
        <f t="shared" si="21"/>
        <v>16322772777.653362</v>
      </c>
      <c r="DY7" s="140">
        <f t="shared" si="22"/>
        <v>20358825237.728733</v>
      </c>
      <c r="DZ7" s="140">
        <f t="shared" si="23"/>
        <v>22884480276.828289</v>
      </c>
      <c r="EA7" s="140">
        <f t="shared" si="24"/>
        <v>16838101414.72398</v>
      </c>
      <c r="EB7" s="140">
        <f t="shared" si="25"/>
        <v>24913435501.377571</v>
      </c>
      <c r="EC7" s="140">
        <f t="shared" si="26"/>
        <v>31999539685.584045</v>
      </c>
      <c r="ED7" s="140">
        <f t="shared" si="27"/>
        <v>35340323137.042404</v>
      </c>
      <c r="EE7" s="140">
        <f t="shared" si="28"/>
        <v>34346366975.303238</v>
      </c>
      <c r="EF7" s="140">
        <f t="shared" si="29"/>
        <v>32332613319.078823</v>
      </c>
      <c r="EG7" s="140">
        <f t="shared" si="30"/>
        <v>35390881910.694061</v>
      </c>
      <c r="EH7" s="140">
        <f t="shared" si="62"/>
        <v>51249955411.816017</v>
      </c>
      <c r="EI7" s="140">
        <f t="shared" si="62"/>
        <v>56403600039.682037</v>
      </c>
      <c r="EJ7" s="140">
        <f t="shared" si="31"/>
        <v>55683306499.443253</v>
      </c>
      <c r="EK7" s="140">
        <f t="shared" si="32"/>
        <v>54767745229.883774</v>
      </c>
      <c r="EL7" s="140">
        <f t="shared" si="33"/>
        <v>44872676498.837822</v>
      </c>
      <c r="EM7" s="140">
        <f t="shared" si="34"/>
        <v>23498166909.837822</v>
      </c>
      <c r="EN7" s="140">
        <f t="shared" si="35"/>
        <v>22720073758.837822</v>
      </c>
      <c r="EO7" s="140">
        <f t="shared" si="36"/>
        <v>22342297156.471367</v>
      </c>
      <c r="EP7" s="140">
        <f t="shared" si="37"/>
        <v>19007978883.509003</v>
      </c>
      <c r="EQ7" s="140">
        <f t="shared" si="38"/>
        <v>16862312336.509003</v>
      </c>
      <c r="ER7" s="140">
        <f t="shared" si="39"/>
        <v>17135185593.200645</v>
      </c>
      <c r="ES7" s="140">
        <f t="shared" si="40"/>
        <v>17029018121.200645</v>
      </c>
      <c r="ET7" s="140">
        <f t="shared" si="41"/>
        <v>17462118096.151764</v>
      </c>
      <c r="EU7" s="140">
        <f t="shared" si="42"/>
        <v>17181418096.151764</v>
      </c>
      <c r="EV7" s="140">
        <f t="shared" si="43"/>
        <v>13531071469.784184</v>
      </c>
      <c r="EW7" s="140">
        <f t="shared" si="44"/>
        <v>6857871469.7841835</v>
      </c>
      <c r="EX7" s="140">
        <f t="shared" si="45"/>
        <v>6976517600.0381832</v>
      </c>
      <c r="EY7" s="140">
        <f t="shared" si="46"/>
        <v>73.043002128601074</v>
      </c>
      <c r="EZ7" s="140">
        <f t="shared" si="47"/>
        <v>1.5015902248310751E-3</v>
      </c>
      <c r="FA7" s="140">
        <f t="shared" si="48"/>
        <v>1.5015902248310751E-3</v>
      </c>
      <c r="FB7" s="140">
        <f t="shared" si="49"/>
        <v>1.5015902248310751E-3</v>
      </c>
      <c r="FC7" s="140">
        <f t="shared" si="50"/>
        <v>1.5015902248310751E-3</v>
      </c>
      <c r="FD7" s="140">
        <f t="shared" si="51"/>
        <v>1.5015902248310751E-3</v>
      </c>
      <c r="FE7" s="140">
        <f t="shared" si="52"/>
        <v>1.5015902248310751E-3</v>
      </c>
      <c r="FF7" s="140">
        <f t="shared" si="53"/>
        <v>1.5015902248310751E-3</v>
      </c>
      <c r="FG7" s="140">
        <f t="shared" si="54"/>
        <v>1.5015902248310751E-3</v>
      </c>
      <c r="FH7" s="140">
        <f t="shared" si="55"/>
        <v>1.5015902248310751E-3</v>
      </c>
      <c r="FI7" s="140">
        <f t="shared" si="56"/>
        <v>1.5015902248310751E-3</v>
      </c>
      <c r="FJ7" s="140">
        <f t="shared" si="57"/>
        <v>1.5015902248310751E-3</v>
      </c>
      <c r="FK7" s="141">
        <f t="shared" si="58"/>
        <v>1.5015902248310751E-3</v>
      </c>
      <c r="FM7" s="134">
        <f t="shared" si="63"/>
        <v>5</v>
      </c>
      <c r="FN7" s="166">
        <v>29</v>
      </c>
      <c r="FO7" s="124">
        <f>HLOOKUP(FN7,$AE$2:BW7,FM7+1,0)</f>
        <v>45272</v>
      </c>
      <c r="FP7" s="140">
        <f>HLOOKUP(FN7,$DT$2:FK7,FM7+1,0)</f>
        <v>6857871469.7841835</v>
      </c>
      <c r="FQ7" s="182">
        <f t="shared" si="59"/>
        <v>6893607553.1166754</v>
      </c>
      <c r="FR7" s="126">
        <f t="shared" si="60"/>
        <v>6186417539.7260275</v>
      </c>
      <c r="FS7" s="183">
        <f t="shared" si="61"/>
        <v>-707190013.39064789</v>
      </c>
      <c r="FT7" s="165">
        <f t="shared" si="15"/>
        <v>0</v>
      </c>
    </row>
    <row r="8" spans="1:176">
      <c r="A8" s="134" t="s">
        <v>83</v>
      </c>
      <c r="B8" s="121" t="s">
        <v>21</v>
      </c>
      <c r="C8" s="3" t="s">
        <v>21</v>
      </c>
      <c r="D8" s="3" t="s">
        <v>14</v>
      </c>
      <c r="E8" s="140">
        <v>50000</v>
      </c>
      <c r="F8" s="140">
        <f>SUMIFS('121'!E:E,'121'!B:B,'Amortised cost 31.12.2023'!C8)</f>
        <v>5000000000</v>
      </c>
      <c r="G8" s="140">
        <v>100000</v>
      </c>
      <c r="H8" s="140">
        <f t="shared" si="3"/>
        <v>5000000000</v>
      </c>
      <c r="I8" s="222">
        <v>0.1</v>
      </c>
      <c r="J8" s="222"/>
      <c r="K8" s="124">
        <v>44697</v>
      </c>
      <c r="L8" s="124">
        <v>46158</v>
      </c>
      <c r="M8" s="121" t="s">
        <v>22</v>
      </c>
      <c r="N8" s="124">
        <v>44847</v>
      </c>
      <c r="O8" s="124">
        <v>45246</v>
      </c>
      <c r="P8" s="141">
        <f t="shared" ref="P8:P9" si="65">H8*I8*($O$1-O8+1)/365</f>
        <v>63013698.630136989</v>
      </c>
      <c r="Q8" s="226"/>
      <c r="R8" s="121" t="s">
        <v>158</v>
      </c>
      <c r="T8" s="151">
        <f t="shared" si="5"/>
        <v>44697</v>
      </c>
      <c r="U8" s="124">
        <f t="shared" si="6"/>
        <v>46158</v>
      </c>
      <c r="V8" s="128">
        <f t="shared" ref="V8:V29" si="66">I8</f>
        <v>0.1</v>
      </c>
      <c r="W8" s="121" t="s">
        <v>155</v>
      </c>
      <c r="X8" s="121" t="str">
        <f t="shared" si="7"/>
        <v>Quý</v>
      </c>
      <c r="Y8" s="121" cm="1">
        <f t="array" ref="Y8">_xlfn.IFS(X8="Quý",3,LEFT(X8,1)="6",6,X8="Năm",12,X8="Cuối kỳ",1)</f>
        <v>3</v>
      </c>
      <c r="Z8" s="124">
        <f t="shared" ref="Z8:Z29" si="67">O8</f>
        <v>45246</v>
      </c>
      <c r="AA8" s="175">
        <f>H8*I8*($O$1-O8+1)/365</f>
        <v>63013698.630136989</v>
      </c>
      <c r="AB8" s="152">
        <f t="shared" si="8"/>
        <v>16</v>
      </c>
      <c r="AC8" s="126">
        <f t="shared" si="9"/>
        <v>0</v>
      </c>
      <c r="AD8" s="126"/>
      <c r="AE8" s="151">
        <v>44847</v>
      </c>
      <c r="AF8" s="124">
        <v>44881</v>
      </c>
      <c r="AG8" s="124">
        <v>44973</v>
      </c>
      <c r="AH8" s="124">
        <v>45062</v>
      </c>
      <c r="AI8" s="124">
        <v>45154</v>
      </c>
      <c r="AJ8" s="124">
        <v>45246</v>
      </c>
      <c r="AK8" s="124">
        <v>45338</v>
      </c>
      <c r="AL8" s="242">
        <v>45371</v>
      </c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W8" s="141">
        <f t="shared" ref="BW8:BW11" si="68">MAX(AE8:BC8)-U8</f>
        <v>-787</v>
      </c>
      <c r="BY8" s="227">
        <v>-5169650000</v>
      </c>
      <c r="BZ8" s="224">
        <v>126027500</v>
      </c>
      <c r="CA8" s="224">
        <v>126027500</v>
      </c>
      <c r="CB8" s="224">
        <v>121918000</v>
      </c>
      <c r="CC8" s="224">
        <v>126027500</v>
      </c>
      <c r="CD8" s="224">
        <v>126027500</v>
      </c>
      <c r="CE8" s="224">
        <v>126027500</v>
      </c>
      <c r="CF8" s="224">
        <v>5045200000</v>
      </c>
      <c r="CG8" s="224"/>
      <c r="CH8" s="224"/>
      <c r="CI8" s="224"/>
      <c r="CJ8" s="224"/>
      <c r="CK8" s="224"/>
      <c r="CL8" s="224"/>
      <c r="CM8" s="224"/>
      <c r="CN8" s="224"/>
      <c r="DD8" s="152"/>
      <c r="DQ8" s="128">
        <f t="shared" si="11"/>
        <v>-1.0660591721534718E-2</v>
      </c>
      <c r="DR8" s="247">
        <f t="shared" si="12"/>
        <v>8.9339408278465288E-2</v>
      </c>
      <c r="DS8" s="250"/>
      <c r="DT8" s="161">
        <f t="shared" si="13"/>
        <v>5169650000</v>
      </c>
      <c r="DU8" s="140">
        <f t="shared" si="18"/>
        <v>5084994660.4719429</v>
      </c>
      <c r="DV8" s="140">
        <f t="shared" si="19"/>
        <v>5069835216.6440086</v>
      </c>
      <c r="DW8" s="140">
        <f t="shared" si="20"/>
        <v>5054812536.0956135</v>
      </c>
      <c r="DX8" s="140">
        <f t="shared" si="21"/>
        <v>5038995031.8990507</v>
      </c>
      <c r="DY8" s="140">
        <f t="shared" si="22"/>
        <v>5022832658.9148369</v>
      </c>
      <c r="DZ8" s="140">
        <f t="shared" si="23"/>
        <v>5006317897.9743843</v>
      </c>
      <c r="EA8" s="140">
        <f t="shared" si="24"/>
        <v>-18.339491844177246</v>
      </c>
      <c r="EB8" s="140">
        <f t="shared" si="25"/>
        <v>-4.4039962143206191E-4</v>
      </c>
      <c r="EC8" s="140">
        <f t="shared" si="26"/>
        <v>-4.4039962143206191E-4</v>
      </c>
      <c r="ED8" s="140">
        <f t="shared" si="27"/>
        <v>-4.4039962143206191E-4</v>
      </c>
      <c r="EE8" s="140">
        <f t="shared" si="28"/>
        <v>-4.4039962143206191E-4</v>
      </c>
      <c r="EF8" s="140">
        <f t="shared" si="29"/>
        <v>-4.4039962143206191E-4</v>
      </c>
      <c r="EG8" s="140">
        <f t="shared" si="30"/>
        <v>-4.4039962143206191E-4</v>
      </c>
      <c r="EH8" s="140">
        <f t="shared" si="62"/>
        <v>-4.4039962143206191E-4</v>
      </c>
      <c r="EI8" s="140">
        <f t="shared" si="62"/>
        <v>-4.4039962143206191E-4</v>
      </c>
      <c r="EJ8" s="140">
        <f t="shared" si="31"/>
        <v>-4.4039962143206191E-4</v>
      </c>
      <c r="EK8" s="140">
        <f t="shared" si="32"/>
        <v>-4.4039962143206191E-4</v>
      </c>
      <c r="EL8" s="140">
        <f t="shared" si="33"/>
        <v>-4.4039962143206191E-4</v>
      </c>
      <c r="EM8" s="140">
        <f t="shared" si="34"/>
        <v>-4.4039962143206191E-4</v>
      </c>
      <c r="EN8" s="140">
        <f t="shared" si="35"/>
        <v>-4.4039962143206191E-4</v>
      </c>
      <c r="EO8" s="140">
        <f t="shared" si="36"/>
        <v>-4.4039962143206191E-4</v>
      </c>
      <c r="EP8" s="140">
        <f t="shared" si="37"/>
        <v>-4.4039962143206191E-4</v>
      </c>
      <c r="EQ8" s="140">
        <f t="shared" si="38"/>
        <v>-4.4039962143206191E-4</v>
      </c>
      <c r="ER8" s="140">
        <f t="shared" si="39"/>
        <v>-4.4039962143206191E-4</v>
      </c>
      <c r="ES8" s="140">
        <f t="shared" si="40"/>
        <v>-4.4039962143206191E-4</v>
      </c>
      <c r="ET8" s="140">
        <f t="shared" si="41"/>
        <v>-4.4039962143206191E-4</v>
      </c>
      <c r="EU8" s="140">
        <f t="shared" si="42"/>
        <v>-4.4039962143206191E-4</v>
      </c>
      <c r="EV8" s="140">
        <f t="shared" si="43"/>
        <v>-4.4039962143206191E-4</v>
      </c>
      <c r="EW8" s="140">
        <f t="shared" si="44"/>
        <v>-4.4039962143206191E-4</v>
      </c>
      <c r="EX8" s="140">
        <f t="shared" si="45"/>
        <v>-4.4039962143206191E-4</v>
      </c>
      <c r="EY8" s="140">
        <f t="shared" si="46"/>
        <v>-4.4039962143206191E-4</v>
      </c>
      <c r="EZ8" s="140">
        <f t="shared" si="47"/>
        <v>-4.4039962143206191E-4</v>
      </c>
      <c r="FA8" s="140">
        <f t="shared" si="48"/>
        <v>-4.4039962143206191E-4</v>
      </c>
      <c r="FB8" s="140">
        <f t="shared" si="49"/>
        <v>-4.4039962143206191E-4</v>
      </c>
      <c r="FC8" s="140">
        <f t="shared" si="50"/>
        <v>-4.4039962143206191E-4</v>
      </c>
      <c r="FD8" s="140">
        <f t="shared" si="51"/>
        <v>-4.4039962143206191E-4</v>
      </c>
      <c r="FE8" s="140">
        <f t="shared" si="52"/>
        <v>-4.4039962143206191E-4</v>
      </c>
      <c r="FF8" s="140">
        <f t="shared" si="53"/>
        <v>-4.4039962143206191E-4</v>
      </c>
      <c r="FG8" s="140">
        <f t="shared" si="54"/>
        <v>-4.4039962143206191E-4</v>
      </c>
      <c r="FH8" s="140">
        <f t="shared" si="55"/>
        <v>-4.4039962143206191E-4</v>
      </c>
      <c r="FI8" s="140">
        <f t="shared" si="56"/>
        <v>-4.4039962143206191E-4</v>
      </c>
      <c r="FJ8" s="140">
        <f t="shared" si="57"/>
        <v>-4.4039962143206191E-4</v>
      </c>
      <c r="FK8" s="141">
        <f t="shared" si="58"/>
        <v>-4.4039962143206191E-4</v>
      </c>
      <c r="FM8" s="134">
        <f t="shared" si="63"/>
        <v>6</v>
      </c>
      <c r="FN8" s="166">
        <v>5</v>
      </c>
      <c r="FO8" s="124">
        <f>HLOOKUP(FN8,$AE$2:BW8,FM8+1,0)</f>
        <v>45246</v>
      </c>
      <c r="FP8" s="140">
        <f>HLOOKUP(FN8,$DT$2:FK8,FM8+1,0)</f>
        <v>5022832658.9148369</v>
      </c>
      <c r="FQ8" s="182">
        <f t="shared" si="59"/>
        <v>5082201934.5358582</v>
      </c>
      <c r="FR8" s="126">
        <f t="shared" si="60"/>
        <v>5063013698.6301374</v>
      </c>
      <c r="FS8" s="183">
        <f t="shared" si="61"/>
        <v>-19188235.905720711</v>
      </c>
      <c r="FT8" s="165">
        <f t="shared" si="15"/>
        <v>0</v>
      </c>
    </row>
    <row r="9" spans="1:176">
      <c r="A9" s="134" t="s">
        <v>83</v>
      </c>
      <c r="B9" s="121" t="s">
        <v>23</v>
      </c>
      <c r="C9" s="3" t="s">
        <v>23</v>
      </c>
      <c r="D9" s="3" t="s">
        <v>14</v>
      </c>
      <c r="E9" s="140">
        <v>40000</v>
      </c>
      <c r="F9" s="140">
        <f>SUMIFS('121'!E:E,'121'!B:B,'Amortised cost 31.12.2023'!C9)</f>
        <v>4000000000</v>
      </c>
      <c r="G9" s="140">
        <v>100000</v>
      </c>
      <c r="H9" s="140">
        <f t="shared" si="3"/>
        <v>4000000000</v>
      </c>
      <c r="I9" s="222">
        <v>0.105</v>
      </c>
      <c r="J9" s="222"/>
      <c r="K9" s="124">
        <v>44477</v>
      </c>
      <c r="L9" s="124">
        <v>45573</v>
      </c>
      <c r="M9" s="121" t="s">
        <v>22</v>
      </c>
      <c r="N9" s="124">
        <v>44560</v>
      </c>
      <c r="O9" s="124">
        <v>45207</v>
      </c>
      <c r="P9" s="141">
        <f t="shared" si="65"/>
        <v>97808219.178082198</v>
      </c>
      <c r="R9" s="121"/>
      <c r="T9" s="151">
        <f t="shared" si="5"/>
        <v>44477</v>
      </c>
      <c r="U9" s="124">
        <f t="shared" si="6"/>
        <v>45573</v>
      </c>
      <c r="V9" s="128">
        <f t="shared" si="66"/>
        <v>0.105</v>
      </c>
      <c r="W9" s="121" t="s">
        <v>155</v>
      </c>
      <c r="X9" s="121" t="str">
        <f t="shared" si="7"/>
        <v>Quý</v>
      </c>
      <c r="Y9" s="121" cm="1">
        <f t="array" ref="Y9">_xlfn.IFS(X9="Quý",3,LEFT(X9,1)="6",6,X9="Năm",12,X9="Cuối kỳ",1)</f>
        <v>3</v>
      </c>
      <c r="Z9" s="124">
        <f t="shared" si="67"/>
        <v>45207</v>
      </c>
      <c r="AA9" s="175">
        <f>H9*I9*($O$1-O9+1)/365</f>
        <v>97808219.178082198</v>
      </c>
      <c r="AB9" s="152">
        <f t="shared" si="8"/>
        <v>12</v>
      </c>
      <c r="AC9" s="126">
        <f t="shared" si="9"/>
        <v>0</v>
      </c>
      <c r="AD9" s="126"/>
      <c r="AE9" s="151">
        <v>44560</v>
      </c>
      <c r="AF9" s="124">
        <v>44561</v>
      </c>
      <c r="AG9" s="124">
        <v>44565</v>
      </c>
      <c r="AH9" s="124">
        <v>44572</v>
      </c>
      <c r="AI9" s="124">
        <v>44659</v>
      </c>
      <c r="AJ9" s="124">
        <v>44750</v>
      </c>
      <c r="AK9" s="124">
        <v>44845</v>
      </c>
      <c r="AL9" s="124">
        <v>44936</v>
      </c>
      <c r="AM9" s="124">
        <v>45024</v>
      </c>
      <c r="AN9" s="124">
        <v>45024</v>
      </c>
      <c r="AO9" s="124">
        <v>45115</v>
      </c>
      <c r="AP9" s="124">
        <v>45209</v>
      </c>
      <c r="AQ9" s="124">
        <v>45299</v>
      </c>
      <c r="AR9" s="124">
        <v>45391</v>
      </c>
      <c r="AS9" s="124">
        <v>45481</v>
      </c>
      <c r="AT9" s="124">
        <v>45573</v>
      </c>
      <c r="AU9" s="124"/>
      <c r="AV9" s="124"/>
      <c r="AW9" s="124"/>
      <c r="AX9" s="124"/>
      <c r="AY9" s="124"/>
      <c r="AZ9" s="124"/>
      <c r="BA9" s="124"/>
      <c r="BB9" s="124"/>
      <c r="BC9" s="124"/>
      <c r="BW9" s="141">
        <f t="shared" si="68"/>
        <v>0</v>
      </c>
      <c r="BY9" s="223">
        <v>-4057520000</v>
      </c>
      <c r="BZ9" s="129">
        <v>-4058680000</v>
      </c>
      <c r="CA9" s="129">
        <v>-2031640000</v>
      </c>
      <c r="CB9" s="129">
        <v>169726027</v>
      </c>
      <c r="CC9" s="5">
        <v>258904110</v>
      </c>
      <c r="CD9" s="5">
        <v>261780822</v>
      </c>
      <c r="CE9" s="5">
        <v>264657534</v>
      </c>
      <c r="CF9" s="5">
        <v>264657534</v>
      </c>
      <c r="CG9" s="5">
        <v>258904110</v>
      </c>
      <c r="CH9" s="228">
        <v>3000000000</v>
      </c>
      <c r="CI9" s="5">
        <v>3183246575</v>
      </c>
      <c r="CJ9" s="228">
        <v>105863014</v>
      </c>
      <c r="CK9" s="5">
        <v>105863014</v>
      </c>
      <c r="CL9" s="5">
        <v>104712329</v>
      </c>
      <c r="CM9" s="5">
        <f>$H$9*$V$9/4</f>
        <v>105000000</v>
      </c>
      <c r="CN9" s="5">
        <f>$H$9*$V$9/4+H9</f>
        <v>4105000000</v>
      </c>
      <c r="DD9" s="152"/>
      <c r="DQ9" s="128">
        <f t="shared" si="11"/>
        <v>4.1445624828338606E-3</v>
      </c>
      <c r="DR9" s="247">
        <f t="shared" si="12"/>
        <v>0.10914456248283386</v>
      </c>
      <c r="DS9" s="250"/>
      <c r="DT9" s="161">
        <f t="shared" si="13"/>
        <v>4057520000</v>
      </c>
      <c r="DU9" s="140">
        <f t="shared" si="18"/>
        <v>8117351710.4300499</v>
      </c>
      <c r="DV9" s="140">
        <f t="shared" si="19"/>
        <v>10158211943.308142</v>
      </c>
      <c r="DW9" s="140">
        <f t="shared" si="20"/>
        <v>10008686679.433811</v>
      </c>
      <c r="DX9" s="140">
        <f t="shared" si="21"/>
        <v>9999984111.5128613</v>
      </c>
      <c r="DY9" s="140">
        <f t="shared" si="22"/>
        <v>9999829882.6895161</v>
      </c>
      <c r="DZ9" s="140">
        <f t="shared" si="23"/>
        <v>10008450553.215055</v>
      </c>
      <c r="EA9" s="140">
        <f t="shared" si="24"/>
        <v>10005641117.373535</v>
      </c>
      <c r="EB9" s="140">
        <f t="shared" si="25"/>
        <v>9999773472.4702206</v>
      </c>
      <c r="EC9" s="140">
        <f t="shared" si="26"/>
        <v>6999773472.4702206</v>
      </c>
      <c r="ED9" s="140">
        <f t="shared" si="27"/>
        <v>3999659877.1018896</v>
      </c>
      <c r="EE9" s="140">
        <f t="shared" si="28"/>
        <v>4001934727.9811077</v>
      </c>
      <c r="EF9" s="140">
        <f t="shared" si="29"/>
        <v>3999607814.1593418</v>
      </c>
      <c r="EG9" s="140">
        <f t="shared" si="30"/>
        <v>4000701002.1462336</v>
      </c>
      <c r="EH9" s="140">
        <f t="shared" si="62"/>
        <v>3999205183.9723916</v>
      </c>
      <c r="EI9" s="140">
        <f t="shared" si="62"/>
        <v>49.791202545166016</v>
      </c>
      <c r="EJ9" s="140">
        <f t="shared" si="31"/>
        <v>1.202382319240223E-4</v>
      </c>
      <c r="EK9" s="140">
        <f t="shared" si="32"/>
        <v>1.202382319240223E-4</v>
      </c>
      <c r="EL9" s="140">
        <f t="shared" si="33"/>
        <v>1.202382319240223E-4</v>
      </c>
      <c r="EM9" s="140">
        <f t="shared" si="34"/>
        <v>1.202382319240223E-4</v>
      </c>
      <c r="EN9" s="140">
        <f t="shared" si="35"/>
        <v>1.202382319240223E-4</v>
      </c>
      <c r="EO9" s="140">
        <f t="shared" si="36"/>
        <v>1.202382319240223E-4</v>
      </c>
      <c r="EP9" s="140">
        <f t="shared" si="37"/>
        <v>1.202382319240223E-4</v>
      </c>
      <c r="EQ9" s="140">
        <f t="shared" si="38"/>
        <v>1.202382319240223E-4</v>
      </c>
      <c r="ER9" s="140">
        <f t="shared" si="39"/>
        <v>1.202382319240223E-4</v>
      </c>
      <c r="ES9" s="140">
        <f t="shared" si="40"/>
        <v>1.202382319240223E-4</v>
      </c>
      <c r="ET9" s="140">
        <f t="shared" si="41"/>
        <v>1.202382319240223E-4</v>
      </c>
      <c r="EU9" s="140">
        <f t="shared" si="42"/>
        <v>1.202382319240223E-4</v>
      </c>
      <c r="EV9" s="140">
        <f t="shared" si="43"/>
        <v>1.202382319240223E-4</v>
      </c>
      <c r="EW9" s="140">
        <f t="shared" si="44"/>
        <v>1.202382319240223E-4</v>
      </c>
      <c r="EX9" s="140">
        <f t="shared" si="45"/>
        <v>1.202382319240223E-4</v>
      </c>
      <c r="EY9" s="140">
        <f t="shared" si="46"/>
        <v>1.202382319240223E-4</v>
      </c>
      <c r="EZ9" s="140">
        <f t="shared" si="47"/>
        <v>1.202382319240223E-4</v>
      </c>
      <c r="FA9" s="140">
        <f t="shared" si="48"/>
        <v>1.202382319240223E-4</v>
      </c>
      <c r="FB9" s="140">
        <f t="shared" si="49"/>
        <v>1.202382319240223E-4</v>
      </c>
      <c r="FC9" s="140">
        <f t="shared" si="50"/>
        <v>1.202382319240223E-4</v>
      </c>
      <c r="FD9" s="140">
        <f t="shared" si="51"/>
        <v>1.202382319240223E-4</v>
      </c>
      <c r="FE9" s="140">
        <f t="shared" si="52"/>
        <v>1.202382319240223E-4</v>
      </c>
      <c r="FF9" s="140">
        <f t="shared" si="53"/>
        <v>1.202382319240223E-4</v>
      </c>
      <c r="FG9" s="140">
        <f t="shared" si="54"/>
        <v>1.202382319240223E-4</v>
      </c>
      <c r="FH9" s="140">
        <f t="shared" si="55"/>
        <v>1.202382319240223E-4</v>
      </c>
      <c r="FI9" s="140">
        <f t="shared" si="56"/>
        <v>1.202382319240223E-4</v>
      </c>
      <c r="FJ9" s="140">
        <f t="shared" si="57"/>
        <v>1.202382319240223E-4</v>
      </c>
      <c r="FK9" s="141">
        <f t="shared" si="58"/>
        <v>1.202382319240223E-4</v>
      </c>
      <c r="FM9" s="134">
        <f t="shared" si="63"/>
        <v>7</v>
      </c>
      <c r="FN9" s="166">
        <v>11</v>
      </c>
      <c r="FO9" s="124">
        <f>HLOOKUP(FN9,$AE$2:BW9,FM9+1,0)</f>
        <v>45209</v>
      </c>
      <c r="FP9" s="140">
        <f>HLOOKUP(FN9,$DT$2:FK9,FM9+1,0)</f>
        <v>4001934727.9811077</v>
      </c>
      <c r="FQ9" s="182">
        <f t="shared" si="59"/>
        <v>4092716509.9280615</v>
      </c>
      <c r="FR9" s="126">
        <f t="shared" si="60"/>
        <v>4097808219.178082</v>
      </c>
      <c r="FS9" s="183">
        <f t="shared" si="61"/>
        <v>5091709.250020504</v>
      </c>
      <c r="FT9" s="165">
        <f t="shared" si="15"/>
        <v>0</v>
      </c>
    </row>
    <row r="10" spans="1:176">
      <c r="A10" s="134" t="s">
        <v>83</v>
      </c>
      <c r="B10" s="121" t="s">
        <v>24</v>
      </c>
      <c r="C10" s="3" t="s">
        <v>24</v>
      </c>
      <c r="D10" s="3" t="s">
        <v>14</v>
      </c>
      <c r="E10" s="135">
        <v>39</v>
      </c>
      <c r="F10" s="135">
        <f>SUMIFS('121'!E:E,'121'!B:B,'Amortised cost 31.12.2023'!C10)</f>
        <v>39059083362</v>
      </c>
      <c r="G10" s="135">
        <v>1000000000</v>
      </c>
      <c r="H10" s="135">
        <f t="shared" si="3"/>
        <v>39000000000</v>
      </c>
      <c r="I10" s="136">
        <v>8.5000000000000006E-2</v>
      </c>
      <c r="J10" s="136"/>
      <c r="K10" s="124">
        <v>44294</v>
      </c>
      <c r="L10" s="124">
        <v>46851</v>
      </c>
      <c r="M10" s="121" t="s">
        <v>22</v>
      </c>
      <c r="N10" s="124">
        <v>45245</v>
      </c>
      <c r="O10" s="124">
        <v>45245</v>
      </c>
      <c r="P10" s="137">
        <f>SUMIFS('Mua bán - filtered'!N:N,'Mua bán - filtered'!A:A,B10)</f>
        <v>426863013.69863015</v>
      </c>
      <c r="R10" s="121"/>
      <c r="T10" s="151">
        <f t="shared" si="5"/>
        <v>44294</v>
      </c>
      <c r="U10" s="124">
        <f t="shared" si="6"/>
        <v>46851</v>
      </c>
      <c r="V10" s="128">
        <f t="shared" si="66"/>
        <v>8.5000000000000006E-2</v>
      </c>
      <c r="W10" s="121" t="s">
        <v>162</v>
      </c>
      <c r="X10" s="121" t="str">
        <f t="shared" si="7"/>
        <v>Quý</v>
      </c>
      <c r="Y10" s="121" cm="1">
        <f t="array" ref="Y10">_xlfn.IFS(X10="Quý",3,LEFT(X10,1)="6",6,X10="Năm",12,X10="Cuối kỳ",1)</f>
        <v>3</v>
      </c>
      <c r="Z10" s="124">
        <f t="shared" si="67"/>
        <v>45245</v>
      </c>
      <c r="AA10" s="174">
        <f>SUMIFS('Mua bán - filtered'!N:N,'Mua bán - filtered'!A:A,'Amortised cost 31.12.2023'!B10)</f>
        <v>426863013.69863015</v>
      </c>
      <c r="AB10" s="152">
        <f t="shared" si="8"/>
        <v>28</v>
      </c>
      <c r="AC10" s="126">
        <f t="shared" si="9"/>
        <v>0</v>
      </c>
      <c r="AD10" s="126"/>
      <c r="AE10" s="151">
        <v>45245</v>
      </c>
      <c r="AF10" s="124">
        <v>45299</v>
      </c>
      <c r="AG10" s="124">
        <f>EDATE(AF10,3)</f>
        <v>45390</v>
      </c>
      <c r="AH10" s="124">
        <f t="shared" ref="AH10:AK10" si="69">EDATE(AG10,3)</f>
        <v>45481</v>
      </c>
      <c r="AI10" s="124">
        <f t="shared" si="69"/>
        <v>45573</v>
      </c>
      <c r="AJ10" s="124">
        <f t="shared" si="69"/>
        <v>45665</v>
      </c>
      <c r="AK10" s="124">
        <f t="shared" si="69"/>
        <v>45755</v>
      </c>
      <c r="AL10" s="124">
        <f>EDATE(AK10,3)</f>
        <v>45846</v>
      </c>
      <c r="AM10" s="124">
        <f>EDATE(AL10,3)</f>
        <v>45938</v>
      </c>
      <c r="AN10" s="124">
        <f>EDATE(AM10,3)</f>
        <v>46030</v>
      </c>
      <c r="AO10" s="124">
        <f t="shared" ref="AO10:AV10" si="70">EDATE(AN10,3)</f>
        <v>46120</v>
      </c>
      <c r="AP10" s="124">
        <f t="shared" si="70"/>
        <v>46211</v>
      </c>
      <c r="AQ10" s="124">
        <f t="shared" si="70"/>
        <v>46303</v>
      </c>
      <c r="AR10" s="124">
        <f t="shared" si="70"/>
        <v>46395</v>
      </c>
      <c r="AS10" s="124">
        <f t="shared" si="70"/>
        <v>46485</v>
      </c>
      <c r="AT10" s="124">
        <f t="shared" si="70"/>
        <v>46576</v>
      </c>
      <c r="AU10" s="124">
        <f t="shared" si="70"/>
        <v>46668</v>
      </c>
      <c r="AV10" s="124">
        <f t="shared" si="70"/>
        <v>46760</v>
      </c>
      <c r="AW10" s="124">
        <f>EDATE(AV10,3)</f>
        <v>46851</v>
      </c>
      <c r="AX10" s="124"/>
      <c r="AY10" s="124"/>
      <c r="AZ10" s="124"/>
      <c r="BA10" s="124"/>
      <c r="BB10" s="124"/>
      <c r="BC10" s="124"/>
      <c r="BW10" s="137">
        <f t="shared" si="68"/>
        <v>0</v>
      </c>
      <c r="BY10" s="160">
        <f>-F10</f>
        <v>-39059083362</v>
      </c>
      <c r="BZ10" s="135">
        <v>835996833</v>
      </c>
      <c r="CA10" s="135">
        <v>826479452</v>
      </c>
      <c r="CB10" s="135">
        <v>585000000</v>
      </c>
      <c r="CC10" s="135">
        <v>585000000</v>
      </c>
      <c r="CD10" s="135">
        <v>585000000</v>
      </c>
      <c r="CE10" s="135">
        <v>585000000</v>
      </c>
      <c r="CF10" s="135">
        <v>585000000</v>
      </c>
      <c r="CG10" s="135">
        <v>585000000</v>
      </c>
      <c r="CH10" s="135">
        <v>585000000</v>
      </c>
      <c r="CI10" s="135">
        <v>585000000</v>
      </c>
      <c r="CJ10" s="135">
        <v>585000000</v>
      </c>
      <c r="CK10" s="135">
        <v>585000000</v>
      </c>
      <c r="CL10" s="135">
        <v>585000000</v>
      </c>
      <c r="CM10" s="135">
        <v>585000000</v>
      </c>
      <c r="CN10" s="135">
        <v>585000000</v>
      </c>
      <c r="CO10" s="135">
        <v>585000000</v>
      </c>
      <c r="CP10" s="135">
        <v>585000000</v>
      </c>
      <c r="CQ10" s="135">
        <v>39585000000</v>
      </c>
      <c r="DD10" s="152"/>
      <c r="DQ10" s="128">
        <f t="shared" si="11"/>
        <v>-1.8986052870750433E-2</v>
      </c>
      <c r="DR10" s="248">
        <f t="shared" si="12"/>
        <v>6.6013947129249573E-2</v>
      </c>
      <c r="DS10" s="250"/>
      <c r="DT10" s="160">
        <f t="shared" si="13"/>
        <v>39059083362</v>
      </c>
      <c r="DU10" s="135">
        <f t="shared" si="18"/>
        <v>38594244305.994446</v>
      </c>
      <c r="DV10" s="135">
        <f t="shared" si="19"/>
        <v>38387800745.623489</v>
      </c>
      <c r="DW10" s="135">
        <f t="shared" si="20"/>
        <v>38419520017.913887</v>
      </c>
      <c r="DX10" s="135">
        <f t="shared" si="21"/>
        <v>38458586404.244598</v>
      </c>
      <c r="DY10" s="135">
        <f t="shared" si="22"/>
        <v>38498287364.316292</v>
      </c>
      <c r="DZ10" s="135">
        <f t="shared" si="23"/>
        <v>38524931313.171555</v>
      </c>
      <c r="EA10" s="135">
        <f t="shared" si="24"/>
        <v>38558853656.807129</v>
      </c>
      <c r="EB10" s="135">
        <f t="shared" si="25"/>
        <v>38600183305.15876</v>
      </c>
      <c r="EC10" s="135">
        <f t="shared" si="26"/>
        <v>38642184290.483971</v>
      </c>
      <c r="ED10" s="135">
        <f t="shared" si="27"/>
        <v>38671114410.755547</v>
      </c>
      <c r="EE10" s="135">
        <f t="shared" si="28"/>
        <v>38707385259.1716</v>
      </c>
      <c r="EF10" s="135">
        <f t="shared" si="29"/>
        <v>38751127576.403542</v>
      </c>
      <c r="EG10" s="135">
        <f t="shared" si="30"/>
        <v>38795580420.727745</v>
      </c>
      <c r="EH10" s="135">
        <f t="shared" si="62"/>
        <v>38826947631.614639</v>
      </c>
      <c r="EI10" s="135">
        <f t="shared" si="62"/>
        <v>38865722018.881577</v>
      </c>
      <c r="EJ10" s="135">
        <f t="shared" si="31"/>
        <v>38912036274.789726</v>
      </c>
      <c r="EK10" s="135">
        <f t="shared" si="32"/>
        <v>38959102835.003258</v>
      </c>
      <c r="EL10" s="135">
        <f t="shared" si="33"/>
        <v>361.89476776123047</v>
      </c>
      <c r="EM10" s="135">
        <f t="shared" si="34"/>
        <v>9.8848157918726129E-2</v>
      </c>
      <c r="EN10" s="135">
        <f t="shared" si="35"/>
        <v>9.8848157918726129E-2</v>
      </c>
      <c r="EO10" s="135">
        <f t="shared" si="36"/>
        <v>9.8848157918726129E-2</v>
      </c>
      <c r="EP10" s="135">
        <f t="shared" si="37"/>
        <v>9.8848157918726129E-2</v>
      </c>
      <c r="EQ10" s="135">
        <f t="shared" si="38"/>
        <v>9.8848157918726129E-2</v>
      </c>
      <c r="ER10" s="135">
        <f t="shared" si="39"/>
        <v>9.8848157918726129E-2</v>
      </c>
      <c r="ES10" s="135">
        <f t="shared" si="40"/>
        <v>9.8848157918726129E-2</v>
      </c>
      <c r="ET10" s="135">
        <f t="shared" si="41"/>
        <v>9.8848157918726129E-2</v>
      </c>
      <c r="EU10" s="135">
        <f t="shared" si="42"/>
        <v>9.8848157918726129E-2</v>
      </c>
      <c r="EV10" s="135">
        <f t="shared" si="43"/>
        <v>9.8848157918726129E-2</v>
      </c>
      <c r="EW10" s="135">
        <f t="shared" si="44"/>
        <v>9.8848157918726129E-2</v>
      </c>
      <c r="EX10" s="135">
        <f t="shared" si="45"/>
        <v>9.8848157918726129E-2</v>
      </c>
      <c r="EY10" s="135">
        <f t="shared" si="46"/>
        <v>9.8848157918726129E-2</v>
      </c>
      <c r="EZ10" s="135">
        <f t="shared" si="47"/>
        <v>9.8848157918726129E-2</v>
      </c>
      <c r="FA10" s="135">
        <f t="shared" si="48"/>
        <v>9.8848157918726129E-2</v>
      </c>
      <c r="FB10" s="135">
        <f t="shared" si="49"/>
        <v>9.8848157918726129E-2</v>
      </c>
      <c r="FC10" s="135">
        <f t="shared" si="50"/>
        <v>9.8848157918726129E-2</v>
      </c>
      <c r="FD10" s="135">
        <f t="shared" si="51"/>
        <v>9.8848157918726129E-2</v>
      </c>
      <c r="FE10" s="135">
        <f t="shared" si="52"/>
        <v>9.8848157918726129E-2</v>
      </c>
      <c r="FF10" s="135">
        <f t="shared" si="53"/>
        <v>9.8848157918726129E-2</v>
      </c>
      <c r="FG10" s="135">
        <f t="shared" si="54"/>
        <v>9.8848157918726129E-2</v>
      </c>
      <c r="FH10" s="135">
        <f t="shared" si="55"/>
        <v>9.8848157918726129E-2</v>
      </c>
      <c r="FI10" s="135">
        <f t="shared" si="56"/>
        <v>9.8848157918726129E-2</v>
      </c>
      <c r="FJ10" s="135">
        <f t="shared" si="57"/>
        <v>9.8848157918726129E-2</v>
      </c>
      <c r="FK10" s="137">
        <f t="shared" si="58"/>
        <v>9.8848157918726129E-2</v>
      </c>
      <c r="FM10" s="134">
        <f t="shared" si="63"/>
        <v>8</v>
      </c>
      <c r="FN10" s="164">
        <v>0</v>
      </c>
      <c r="FO10" s="124">
        <f>HLOOKUP(FN10,$AE$2:BW10,FM10+1,0)</f>
        <v>45245</v>
      </c>
      <c r="FP10" s="135">
        <f>HLOOKUP(FN10,$DT$2:FK10,FM10+1,0)</f>
        <v>39059083362</v>
      </c>
      <c r="FQ10" s="180">
        <f t="shared" si="59"/>
        <v>39462733511.491959</v>
      </c>
      <c r="FR10" s="126">
        <f t="shared" si="60"/>
        <v>39485946375.698631</v>
      </c>
      <c r="FS10" s="181">
        <f t="shared" si="61"/>
        <v>23212864.206672668</v>
      </c>
      <c r="FT10" s="165">
        <f t="shared" si="15"/>
        <v>0</v>
      </c>
    </row>
    <row r="11" spans="1:176">
      <c r="A11" s="134" t="s">
        <v>83</v>
      </c>
      <c r="B11" s="121" t="s">
        <v>25</v>
      </c>
      <c r="C11" s="3" t="s">
        <v>25</v>
      </c>
      <c r="D11" s="3" t="s">
        <v>14</v>
      </c>
      <c r="E11" s="140">
        <v>5000</v>
      </c>
      <c r="F11" s="140">
        <f>SUMIFS('121'!E:E,'121'!B:B,'Amortised cost 31.12.2023'!C11)</f>
        <v>50000000000.255814</v>
      </c>
      <c r="G11" s="140">
        <v>10000000</v>
      </c>
      <c r="H11" s="140">
        <f t="shared" si="3"/>
        <v>50000000000</v>
      </c>
      <c r="I11" s="222">
        <v>0.10100000000000001</v>
      </c>
      <c r="J11" s="222"/>
      <c r="K11" s="124">
        <v>44601</v>
      </c>
      <c r="L11" s="124">
        <v>47158</v>
      </c>
      <c r="M11" s="253" t="s">
        <v>17</v>
      </c>
      <c r="N11" s="124">
        <v>44601</v>
      </c>
      <c r="O11" s="124">
        <v>44966</v>
      </c>
      <c r="P11" s="141">
        <f t="shared" ref="P11:P18" si="71">H11*I11*($O$1-O11+1)/365</f>
        <v>4510410958.90411</v>
      </c>
      <c r="R11" s="121"/>
      <c r="T11" s="151">
        <f t="shared" si="5"/>
        <v>44601</v>
      </c>
      <c r="U11" s="124">
        <f t="shared" si="6"/>
        <v>47158</v>
      </c>
      <c r="V11" s="128">
        <f t="shared" si="66"/>
        <v>0.10100000000000001</v>
      </c>
      <c r="W11" s="69" t="s">
        <v>164</v>
      </c>
      <c r="X11" s="121" t="str">
        <f t="shared" si="7"/>
        <v>Năm</v>
      </c>
      <c r="Y11" s="121" cm="1">
        <f t="array" ref="Y11">_xlfn.IFS(X11="Quý",3,LEFT(X11,1)="6",6,X11="Năm",12,X11="Cuối kỳ",1)</f>
        <v>12</v>
      </c>
      <c r="Z11" s="124">
        <f t="shared" si="67"/>
        <v>44966</v>
      </c>
      <c r="AA11" s="175">
        <f t="shared" ref="AA11:AA18" si="72">H11*I11*($O$1-O11+1)/365</f>
        <v>4510410958.90411</v>
      </c>
      <c r="AB11" s="152">
        <f t="shared" si="8"/>
        <v>7</v>
      </c>
      <c r="AC11" s="126">
        <f t="shared" si="9"/>
        <v>0</v>
      </c>
      <c r="AD11" s="126"/>
      <c r="AE11" s="151">
        <v>44601</v>
      </c>
      <c r="AF11" s="124">
        <v>44603</v>
      </c>
      <c r="AG11" s="124">
        <v>44606</v>
      </c>
      <c r="AH11" s="124">
        <v>44607</v>
      </c>
      <c r="AI11" s="124">
        <v>44608</v>
      </c>
      <c r="AJ11" s="124">
        <v>44610</v>
      </c>
      <c r="AK11" s="124">
        <v>44900</v>
      </c>
      <c r="AL11" s="124">
        <v>44966</v>
      </c>
      <c r="AM11" s="124">
        <v>45337</v>
      </c>
      <c r="AN11" s="124">
        <v>45697</v>
      </c>
      <c r="AO11" s="124">
        <v>46062</v>
      </c>
      <c r="AP11" s="124">
        <v>46427</v>
      </c>
      <c r="AQ11" s="124">
        <v>46792</v>
      </c>
      <c r="AR11" s="124">
        <v>47158</v>
      </c>
      <c r="AS11" s="124"/>
      <c r="AT11" s="124"/>
      <c r="AU11" s="124"/>
      <c r="AV11" s="124"/>
      <c r="AW11" s="124"/>
      <c r="AX11" s="124"/>
      <c r="AY11" s="124"/>
      <c r="AZ11" s="124"/>
      <c r="BA11" s="124"/>
      <c r="BB11" s="124"/>
      <c r="BC11" s="124"/>
      <c r="BW11" s="141">
        <f t="shared" si="68"/>
        <v>0</v>
      </c>
      <c r="BY11" s="267">
        <v>-70000000000</v>
      </c>
      <c r="BZ11" s="268">
        <v>-16007216000</v>
      </c>
      <c r="CA11" s="268">
        <v>4805411520</v>
      </c>
      <c r="CB11" s="268">
        <v>-8010823200</v>
      </c>
      <c r="CC11" s="268">
        <v>-2003156800</v>
      </c>
      <c r="CD11" s="268">
        <v>-8817857840</v>
      </c>
      <c r="CE11" s="119">
        <v>51811810000</v>
      </c>
      <c r="CF11" s="268">
        <v>4115000000</v>
      </c>
      <c r="CG11" s="269">
        <f>$H$11*$V$11</f>
        <v>5050000000</v>
      </c>
      <c r="CH11" s="119">
        <f>$H$11*7.58%</f>
        <v>3790000000.0000005</v>
      </c>
      <c r="CI11" s="119">
        <f t="shared" ref="CI11:CK11" si="73">$H$11*7.58%</f>
        <v>3790000000.0000005</v>
      </c>
      <c r="CJ11" s="119">
        <f t="shared" si="73"/>
        <v>3790000000.0000005</v>
      </c>
      <c r="CK11" s="119">
        <f t="shared" si="73"/>
        <v>3790000000.0000005</v>
      </c>
      <c r="CL11" s="119">
        <f>$H$11*7.58%+H11</f>
        <v>53790000000</v>
      </c>
      <c r="DD11" s="152"/>
      <c r="DQ11" s="128">
        <f t="shared" si="11"/>
        <v>-2.4643842339515679E-2</v>
      </c>
      <c r="DR11" s="247">
        <f t="shared" si="12"/>
        <v>7.6356157660484328E-2</v>
      </c>
      <c r="DS11" s="250"/>
      <c r="DT11" s="161">
        <f t="shared" si="13"/>
        <v>70000000000</v>
      </c>
      <c r="DU11" s="140">
        <f t="shared" si="18"/>
        <v>86035444696.327667</v>
      </c>
      <c r="DV11" s="140">
        <f t="shared" si="19"/>
        <v>81282081317.952148</v>
      </c>
      <c r="DW11" s="140">
        <f t="shared" si="20"/>
        <v>89309292060.196732</v>
      </c>
      <c r="DX11" s="140">
        <f t="shared" si="21"/>
        <v>91330454794.256729</v>
      </c>
      <c r="DY11" s="140">
        <f t="shared" si="22"/>
        <v>100185143201.02609</v>
      </c>
      <c r="DZ11" s="140">
        <f t="shared" si="23"/>
        <v>54404943140.817917</v>
      </c>
      <c r="EA11" s="140">
        <f t="shared" si="24"/>
        <v>51018645045.618866</v>
      </c>
      <c r="EB11" s="140">
        <f t="shared" si="25"/>
        <v>49930694853.708931</v>
      </c>
      <c r="EC11" s="140">
        <f t="shared" si="26"/>
        <v>49899066905.558266</v>
      </c>
      <c r="ED11" s="140">
        <f t="shared" si="27"/>
        <v>49919167925.310127</v>
      </c>
      <c r="EE11" s="140">
        <f t="shared" si="28"/>
        <v>49940803781.695297</v>
      </c>
      <c r="EF11" s="140">
        <f t="shared" si="29"/>
        <v>49964091668.941734</v>
      </c>
      <c r="EG11" s="140">
        <f t="shared" si="30"/>
        <v>319.00447082519531</v>
      </c>
      <c r="EH11" s="140">
        <f t="shared" si="62"/>
        <v>2.3718193617000099E-2</v>
      </c>
      <c r="EI11" s="140">
        <f t="shared" si="62"/>
        <v>2.3718193617000099E-2</v>
      </c>
      <c r="EJ11" s="140">
        <f t="shared" si="31"/>
        <v>2.3718193617000099E-2</v>
      </c>
      <c r="EK11" s="140">
        <f t="shared" si="32"/>
        <v>2.3718193617000099E-2</v>
      </c>
      <c r="EL11" s="140">
        <f t="shared" si="33"/>
        <v>2.3718193617000099E-2</v>
      </c>
      <c r="EM11" s="140">
        <f t="shared" si="34"/>
        <v>2.3718193617000099E-2</v>
      </c>
      <c r="EN11" s="140">
        <f t="shared" si="35"/>
        <v>2.3718193617000099E-2</v>
      </c>
      <c r="EO11" s="140">
        <f t="shared" si="36"/>
        <v>2.3718193617000099E-2</v>
      </c>
      <c r="EP11" s="140">
        <f t="shared" si="37"/>
        <v>2.3718193617000099E-2</v>
      </c>
      <c r="EQ11" s="140">
        <f t="shared" si="38"/>
        <v>2.3718193617000099E-2</v>
      </c>
      <c r="ER11" s="140">
        <f t="shared" si="39"/>
        <v>2.3718193617000099E-2</v>
      </c>
      <c r="ES11" s="140">
        <f t="shared" si="40"/>
        <v>2.3718193617000099E-2</v>
      </c>
      <c r="ET11" s="140">
        <f t="shared" si="41"/>
        <v>2.3718193617000099E-2</v>
      </c>
      <c r="EU11" s="140">
        <f t="shared" si="42"/>
        <v>2.3718193617000099E-2</v>
      </c>
      <c r="EV11" s="140">
        <f t="shared" si="43"/>
        <v>2.3718193617000099E-2</v>
      </c>
      <c r="EW11" s="140">
        <f t="shared" si="44"/>
        <v>2.3718193617000099E-2</v>
      </c>
      <c r="EX11" s="140">
        <f t="shared" si="45"/>
        <v>2.3718193617000099E-2</v>
      </c>
      <c r="EY11" s="140">
        <f t="shared" si="46"/>
        <v>2.3718193617000099E-2</v>
      </c>
      <c r="EZ11" s="140">
        <f t="shared" si="47"/>
        <v>2.3718193617000099E-2</v>
      </c>
      <c r="FA11" s="140">
        <f t="shared" si="48"/>
        <v>2.3718193617000099E-2</v>
      </c>
      <c r="FB11" s="140">
        <f t="shared" si="49"/>
        <v>2.3718193617000099E-2</v>
      </c>
      <c r="FC11" s="140">
        <f t="shared" si="50"/>
        <v>2.3718193617000099E-2</v>
      </c>
      <c r="FD11" s="140">
        <f t="shared" si="51"/>
        <v>2.3718193617000099E-2</v>
      </c>
      <c r="FE11" s="140">
        <f t="shared" si="52"/>
        <v>2.3718193617000099E-2</v>
      </c>
      <c r="FF11" s="140">
        <f t="shared" si="53"/>
        <v>2.3718193617000099E-2</v>
      </c>
      <c r="FG11" s="140">
        <f t="shared" si="54"/>
        <v>2.3718193617000099E-2</v>
      </c>
      <c r="FH11" s="140">
        <f t="shared" si="55"/>
        <v>2.3718193617000099E-2</v>
      </c>
      <c r="FI11" s="140">
        <f t="shared" si="56"/>
        <v>2.3718193617000099E-2</v>
      </c>
      <c r="FJ11" s="140">
        <f t="shared" si="57"/>
        <v>2.3718193617000099E-2</v>
      </c>
      <c r="FK11" s="141">
        <f t="shared" si="58"/>
        <v>2.3718193617000099E-2</v>
      </c>
      <c r="FM11" s="134">
        <f t="shared" si="63"/>
        <v>9</v>
      </c>
      <c r="FN11" s="166">
        <v>7</v>
      </c>
      <c r="FO11" s="124">
        <f>HLOOKUP(FN11,$AE$2:BW11,FM11+1,0)</f>
        <v>44966</v>
      </c>
      <c r="FP11" s="140">
        <f>HLOOKUP(FN11,$DT$2:FK11,FM11+1,0)</f>
        <v>51018645045.618866</v>
      </c>
      <c r="FQ11" s="182">
        <f t="shared" si="59"/>
        <v>55582337527.955101</v>
      </c>
      <c r="FR11" s="126">
        <f t="shared" si="60"/>
        <v>54510410959.159927</v>
      </c>
      <c r="FS11" s="183">
        <f t="shared" si="61"/>
        <v>-1071926568.7951736</v>
      </c>
      <c r="FT11" s="165">
        <f t="shared" si="15"/>
        <v>0</v>
      </c>
    </row>
    <row r="12" spans="1:176">
      <c r="A12" s="134" t="s">
        <v>83</v>
      </c>
      <c r="B12" s="121" t="s">
        <v>26</v>
      </c>
      <c r="C12" s="3" t="s">
        <v>26</v>
      </c>
      <c r="D12" s="3" t="s">
        <v>14</v>
      </c>
      <c r="E12" s="140">
        <v>5000</v>
      </c>
      <c r="F12" s="140">
        <f>SUMIFS('121'!E:E,'121'!B:B,'Amortised cost 31.12.2023'!C12)</f>
        <v>49999999999.880341</v>
      </c>
      <c r="G12" s="140">
        <v>10000000</v>
      </c>
      <c r="H12" s="140">
        <f t="shared" si="3"/>
        <v>50000000000</v>
      </c>
      <c r="I12" s="222">
        <v>0.10100000000000001</v>
      </c>
      <c r="J12" s="140"/>
      <c r="K12" s="124">
        <v>44610</v>
      </c>
      <c r="L12" s="124">
        <v>47167</v>
      </c>
      <c r="M12" s="121" t="s">
        <v>17</v>
      </c>
      <c r="N12" s="124">
        <v>44613</v>
      </c>
      <c r="O12" s="124">
        <v>44975</v>
      </c>
      <c r="P12" s="141">
        <f t="shared" si="71"/>
        <v>4385890410.9589043</v>
      </c>
      <c r="R12" s="121"/>
      <c r="T12" s="151">
        <f t="shared" si="5"/>
        <v>44610</v>
      </c>
      <c r="U12" s="124">
        <f t="shared" si="6"/>
        <v>47167</v>
      </c>
      <c r="V12" s="128">
        <f t="shared" si="66"/>
        <v>0.10100000000000001</v>
      </c>
      <c r="W12" s="270" t="s">
        <v>164</v>
      </c>
      <c r="X12" s="121" t="str">
        <f t="shared" si="7"/>
        <v>Năm</v>
      </c>
      <c r="Y12" s="121" cm="1">
        <f t="array" ref="Y12">_xlfn.IFS(X12="Quý",3,LEFT(X12,1)="6",6,X12="Năm",12,X12="Cuối kỳ",1)</f>
        <v>12</v>
      </c>
      <c r="Z12" s="124">
        <f t="shared" si="67"/>
        <v>44975</v>
      </c>
      <c r="AA12" s="175">
        <f t="shared" si="72"/>
        <v>4385890410.9589043</v>
      </c>
      <c r="AB12" s="152">
        <f t="shared" si="8"/>
        <v>7</v>
      </c>
      <c r="AC12" s="126">
        <f t="shared" si="9"/>
        <v>0</v>
      </c>
      <c r="AD12" s="126"/>
      <c r="AE12" s="151">
        <v>44613</v>
      </c>
      <c r="AF12" s="124">
        <v>44614</v>
      </c>
      <c r="AG12" s="124">
        <v>44615</v>
      </c>
      <c r="AH12" s="124">
        <v>44616</v>
      </c>
      <c r="AI12" s="124">
        <v>44617</v>
      </c>
      <c r="AJ12" s="124">
        <v>44620</v>
      </c>
      <c r="AK12" s="124">
        <v>44621</v>
      </c>
      <c r="AL12" s="124">
        <v>44622</v>
      </c>
      <c r="AM12" s="124">
        <v>44623</v>
      </c>
      <c r="AN12" s="124">
        <v>44624</v>
      </c>
      <c r="AO12" s="124">
        <v>44627</v>
      </c>
      <c r="AP12" s="124">
        <v>44628</v>
      </c>
      <c r="AQ12" s="124">
        <v>44629</v>
      </c>
      <c r="AR12" s="124">
        <v>44630</v>
      </c>
      <c r="AS12" s="124">
        <v>44631</v>
      </c>
      <c r="AT12" s="124">
        <v>44634</v>
      </c>
      <c r="AU12" s="124">
        <v>44635</v>
      </c>
      <c r="AV12" s="124">
        <v>44977</v>
      </c>
      <c r="AW12" s="124">
        <v>45341</v>
      </c>
      <c r="AX12" s="124">
        <v>45706</v>
      </c>
      <c r="AY12" s="124">
        <v>46071</v>
      </c>
      <c r="AZ12" s="124">
        <v>46436</v>
      </c>
      <c r="BA12" s="124">
        <v>46801</v>
      </c>
      <c r="BB12" s="124">
        <v>47167</v>
      </c>
      <c r="BC12" s="124"/>
      <c r="BW12" s="141">
        <f>MAX(AE12:BB12)-U12</f>
        <v>0</v>
      </c>
      <c r="BY12" s="267">
        <v>-7004734800</v>
      </c>
      <c r="BZ12" s="268">
        <v>7006313300</v>
      </c>
      <c r="CA12" s="268">
        <v>-3503945900</v>
      </c>
      <c r="CB12" s="268">
        <v>-3504735150</v>
      </c>
      <c r="CC12" s="268">
        <v>-8012627200</v>
      </c>
      <c r="CD12" s="268">
        <v>-1102480280</v>
      </c>
      <c r="CE12" s="268">
        <v>-10024803000</v>
      </c>
      <c r="CF12" s="268">
        <v>-12533822500</v>
      </c>
      <c r="CG12" s="268">
        <v>10029312000</v>
      </c>
      <c r="CH12" s="268">
        <v>-8025253600</v>
      </c>
      <c r="CI12" s="268">
        <v>-1606133120</v>
      </c>
      <c r="CJ12" s="268">
        <v>3212987520</v>
      </c>
      <c r="CK12" s="268">
        <v>3012852300</v>
      </c>
      <c r="CL12" s="268">
        <v>-6027057600</v>
      </c>
      <c r="CM12" s="268">
        <v>-1004735100</v>
      </c>
      <c r="CN12" s="268">
        <v>-8545997750</v>
      </c>
      <c r="CO12" s="268">
        <v>-2514092500</v>
      </c>
      <c r="CP12" s="269">
        <v>4115000000</v>
      </c>
      <c r="CQ12" s="269">
        <f>$H$12*$V$12</f>
        <v>5050000000</v>
      </c>
      <c r="CR12" s="119">
        <f>$H$12*7.48%</f>
        <v>3740000000.0000005</v>
      </c>
      <c r="CS12" s="119">
        <f t="shared" ref="CS12:CU12" si="74">$H$12*7.48%</f>
        <v>3740000000.0000005</v>
      </c>
      <c r="CT12" s="119">
        <f t="shared" si="74"/>
        <v>3740000000.0000005</v>
      </c>
      <c r="CU12" s="119">
        <f t="shared" si="74"/>
        <v>3740000000.0000005</v>
      </c>
      <c r="CV12" s="119">
        <f>$H$12*7.48%+H12</f>
        <v>53740000000</v>
      </c>
      <c r="CW12" s="69"/>
      <c r="DD12" s="152"/>
      <c r="DQ12" s="128">
        <f t="shared" si="11"/>
        <v>-2.0651404023170478E-2</v>
      </c>
      <c r="DR12" s="247">
        <f t="shared" si="12"/>
        <v>8.0348595976829529E-2</v>
      </c>
      <c r="DS12" s="250"/>
      <c r="DT12" s="161">
        <f t="shared" si="13"/>
        <v>7004734800</v>
      </c>
      <c r="DU12" s="140">
        <f t="shared" si="18"/>
        <v>-95186.079621315002</v>
      </c>
      <c r="DV12" s="140">
        <f t="shared" si="19"/>
        <v>3503850693.7638931</v>
      </c>
      <c r="DW12" s="140">
        <f t="shared" si="20"/>
        <v>7009327814.8245239</v>
      </c>
      <c r="DX12" s="140">
        <f t="shared" si="21"/>
        <v>15023439301.356003</v>
      </c>
      <c r="DY12" s="140">
        <f t="shared" si="22"/>
        <v>16135465636.938494</v>
      </c>
      <c r="DZ12" s="140">
        <f t="shared" si="23"/>
        <v>26163685463.053177</v>
      </c>
      <c r="EA12" s="140">
        <f t="shared" si="24"/>
        <v>38703048352.513138</v>
      </c>
      <c r="EB12" s="140">
        <f t="shared" si="25"/>
        <v>28681932061.847115</v>
      </c>
      <c r="EC12" s="140">
        <f t="shared" si="26"/>
        <v>36713259312.071632</v>
      </c>
      <c r="ED12" s="140">
        <f t="shared" si="27"/>
        <v>38342720433.535034</v>
      </c>
      <c r="EE12" s="140">
        <f t="shared" si="28"/>
        <v>35137852320.277496</v>
      </c>
      <c r="EF12" s="140">
        <f t="shared" si="29"/>
        <v>32132440768.138344</v>
      </c>
      <c r="EG12" s="140">
        <f t="shared" si="30"/>
        <v>38166302693.790634</v>
      </c>
      <c r="EH12" s="140">
        <f t="shared" si="62"/>
        <v>39179119842.532166</v>
      </c>
      <c r="EI12" s="140">
        <f t="shared" si="62"/>
        <v>47750012428.407471</v>
      </c>
      <c r="EJ12" s="140">
        <f t="shared" si="31"/>
        <v>50274216411.590721</v>
      </c>
      <c r="EK12" s="140">
        <f t="shared" si="32"/>
        <v>49934818000.875793</v>
      </c>
      <c r="EL12" s="140">
        <f t="shared" si="33"/>
        <v>48885589184.388596</v>
      </c>
      <c r="EM12" s="140">
        <f t="shared" si="34"/>
        <v>49073477638.854301</v>
      </c>
      <c r="EN12" s="140">
        <f t="shared" si="35"/>
        <v>49276462666.836586</v>
      </c>
      <c r="EO12" s="140">
        <f t="shared" si="36"/>
        <v>49495757256.821564</v>
      </c>
      <c r="EP12" s="140">
        <f t="shared" si="37"/>
        <v>49732671859.217148</v>
      </c>
      <c r="EQ12" s="140">
        <f t="shared" si="38"/>
        <v>-276.56957244873047</v>
      </c>
      <c r="ER12" s="140">
        <f t="shared" si="39"/>
        <v>-1.2720945232869315E-2</v>
      </c>
      <c r="ES12" s="140">
        <f t="shared" si="40"/>
        <v>-1.2720945232869315E-2</v>
      </c>
      <c r="ET12" s="140">
        <f t="shared" si="41"/>
        <v>-1.2720945232869315E-2</v>
      </c>
      <c r="EU12" s="140">
        <f t="shared" si="42"/>
        <v>-1.2720945232869315E-2</v>
      </c>
      <c r="EV12" s="140">
        <f t="shared" si="43"/>
        <v>-1.2720945232869315E-2</v>
      </c>
      <c r="EW12" s="140">
        <f t="shared" si="44"/>
        <v>-1.2720945232869315E-2</v>
      </c>
      <c r="EX12" s="140">
        <f t="shared" si="45"/>
        <v>-1.2720945232869315E-2</v>
      </c>
      <c r="EY12" s="140">
        <f t="shared" si="46"/>
        <v>-1.2720945232869315E-2</v>
      </c>
      <c r="EZ12" s="140">
        <f t="shared" si="47"/>
        <v>-1.2720945232869315E-2</v>
      </c>
      <c r="FA12" s="140">
        <f t="shared" si="48"/>
        <v>-1.2720945232869315E-2</v>
      </c>
      <c r="FB12" s="140">
        <f t="shared" si="49"/>
        <v>-1.2720945232869315E-2</v>
      </c>
      <c r="FC12" s="140">
        <f t="shared" si="50"/>
        <v>-1.2720945232869315E-2</v>
      </c>
      <c r="FD12" s="140">
        <f t="shared" si="51"/>
        <v>-1.2720945232869315E-2</v>
      </c>
      <c r="FE12" s="140">
        <f t="shared" si="52"/>
        <v>-1.2720945232869315E-2</v>
      </c>
      <c r="FF12" s="140">
        <f t="shared" si="53"/>
        <v>-1.2720945232869315E-2</v>
      </c>
      <c r="FG12" s="140">
        <f t="shared" si="54"/>
        <v>-1.2720945232869315E-2</v>
      </c>
      <c r="FH12" s="140">
        <f t="shared" si="55"/>
        <v>-1.2720945232869315E-2</v>
      </c>
      <c r="FI12" s="140">
        <f t="shared" si="56"/>
        <v>-1.2720945232869315E-2</v>
      </c>
      <c r="FJ12" s="140">
        <f t="shared" si="57"/>
        <v>-1.2720945232869315E-2</v>
      </c>
      <c r="FK12" s="141">
        <f t="shared" si="58"/>
        <v>-1.2720945232869315E-2</v>
      </c>
      <c r="FM12" s="134">
        <f t="shared" si="63"/>
        <v>10</v>
      </c>
      <c r="FN12" s="166">
        <v>17</v>
      </c>
      <c r="FO12" s="124">
        <f>HLOOKUP(FN12,$AE$2:BW12,FM12+1,0)</f>
        <v>44977</v>
      </c>
      <c r="FP12" s="140">
        <f>HLOOKUP(FN12,$DT$2:FK12,FM12+1,0)</f>
        <v>49934818000.875793</v>
      </c>
      <c r="FQ12" s="182">
        <f t="shared" si="59"/>
        <v>54244038335.869743</v>
      </c>
      <c r="FR12" s="126">
        <f t="shared" si="60"/>
        <v>54385890410.839249</v>
      </c>
      <c r="FS12" s="183">
        <f t="shared" si="61"/>
        <v>141852074.96950531</v>
      </c>
      <c r="FT12" s="165">
        <f t="shared" si="15"/>
        <v>0</v>
      </c>
    </row>
    <row r="13" spans="1:176" ht="13">
      <c r="A13" s="134" t="s">
        <v>83</v>
      </c>
      <c r="B13" s="121" t="s">
        <v>27</v>
      </c>
      <c r="C13" s="3" t="s">
        <v>27</v>
      </c>
      <c r="D13" s="3" t="s">
        <v>92</v>
      </c>
      <c r="E13" s="140">
        <v>100000</v>
      </c>
      <c r="F13" s="140">
        <f>SUMIFS('121'!E:E,'121'!B:B,'Amortised cost 31.12.2023'!C13)</f>
        <v>10774200000</v>
      </c>
      <c r="G13" s="140">
        <v>100000</v>
      </c>
      <c r="H13" s="239">
        <f>E13*G13</f>
        <v>10000000000</v>
      </c>
      <c r="I13" s="256">
        <f>(J13-F13)/F13</f>
        <v>1.1926639564886488E-2</v>
      </c>
      <c r="J13" s="234">
        <v>10902700000</v>
      </c>
      <c r="K13" s="124">
        <v>44627</v>
      </c>
      <c r="L13" s="124">
        <v>45358</v>
      </c>
      <c r="M13" s="253" t="s">
        <v>17</v>
      </c>
      <c r="N13" s="124">
        <v>45279</v>
      </c>
      <c r="O13" s="124">
        <v>45279</v>
      </c>
      <c r="P13" s="141">
        <f>(J13-F13)*($O$1-O13+1)/(Q13-O13)</f>
        <v>26101562.5</v>
      </c>
      <c r="Q13" s="124">
        <v>45343</v>
      </c>
      <c r="R13" s="121"/>
      <c r="S13" s="121"/>
      <c r="T13" s="151">
        <f t="shared" si="5"/>
        <v>44627</v>
      </c>
      <c r="U13" s="124">
        <f t="shared" si="6"/>
        <v>45358</v>
      </c>
      <c r="V13" s="128">
        <f t="shared" si="66"/>
        <v>1.1926639564886488E-2</v>
      </c>
      <c r="W13" s="121" t="s">
        <v>155</v>
      </c>
      <c r="X13" s="121" t="str">
        <f t="shared" si="7"/>
        <v>Năm</v>
      </c>
      <c r="Y13" s="121" cm="1">
        <f t="array" ref="Y13">_xlfn.IFS(X13="Quý",3,LEFT(X13,1)="6",6,X13="Năm",12,X13="Cuối kỳ",1)</f>
        <v>12</v>
      </c>
      <c r="Z13" s="124">
        <f t="shared" si="67"/>
        <v>45279</v>
      </c>
      <c r="AA13" s="175">
        <f>(J13-F13)*($O$1-O13+1)/(Q13-O13)</f>
        <v>26101562.5</v>
      </c>
      <c r="AB13" s="152">
        <v>1</v>
      </c>
      <c r="AC13" s="126">
        <f t="shared" si="9"/>
        <v>0</v>
      </c>
      <c r="AD13" s="126"/>
      <c r="AE13" s="151">
        <v>45279</v>
      </c>
      <c r="AF13" s="124">
        <v>45343</v>
      </c>
      <c r="AG13" s="124"/>
      <c r="AH13" s="124"/>
      <c r="AI13" s="124"/>
      <c r="AJ13" s="124"/>
      <c r="AK13" s="124"/>
      <c r="AL13" s="124"/>
      <c r="AM13" s="124"/>
      <c r="AN13" s="124"/>
      <c r="AO13" s="124"/>
      <c r="AP13" s="124"/>
      <c r="AQ13" s="124"/>
      <c r="AR13" s="124"/>
      <c r="AS13" s="124"/>
      <c r="AT13" s="124"/>
      <c r="AU13" s="124"/>
      <c r="AV13" s="124"/>
      <c r="AW13" s="124"/>
      <c r="AX13" s="124"/>
      <c r="AY13" s="124"/>
      <c r="AZ13" s="124"/>
      <c r="BA13" s="124"/>
      <c r="BB13" s="124"/>
      <c r="BC13" s="124"/>
      <c r="BW13" s="141">
        <f t="shared" ref="BW13:BW29" si="75">MAX(AE13:BC13)-U13</f>
        <v>-15</v>
      </c>
      <c r="BY13" s="240">
        <v>-10774200000</v>
      </c>
      <c r="BZ13" s="140">
        <v>10902700000</v>
      </c>
      <c r="DD13" s="152"/>
      <c r="DQ13" s="128">
        <f t="shared" si="11"/>
        <v>5.8028468004808015E-2</v>
      </c>
      <c r="DR13" s="247">
        <f t="shared" si="12"/>
        <v>6.9955107569694502E-2</v>
      </c>
      <c r="DS13" s="250"/>
      <c r="DT13" s="161">
        <f t="shared" si="13"/>
        <v>10774200000</v>
      </c>
      <c r="DU13" s="140">
        <f t="shared" ref="DU13:DU29" si="76">DT13*(1+$DR13)^((AF13-AE13)/365)-BZ13</f>
        <v>-1.949493408203125</v>
      </c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FE13" s="140"/>
      <c r="FF13" s="140"/>
      <c r="FG13" s="140"/>
      <c r="FH13" s="140"/>
      <c r="FI13" s="140"/>
      <c r="FJ13" s="140"/>
      <c r="FK13" s="141"/>
      <c r="FM13" s="134">
        <f t="shared" si="63"/>
        <v>11</v>
      </c>
      <c r="FN13" s="166">
        <v>0</v>
      </c>
      <c r="FO13" s="124">
        <f>HLOOKUP(FN13,$AE$2:BW13,FM13+1,0)</f>
        <v>45279</v>
      </c>
      <c r="FP13" s="140">
        <f>HLOOKUP(FN13,$DT$2:FK13,FM13+1,0)</f>
        <v>10774200000</v>
      </c>
      <c r="FQ13" s="182">
        <f t="shared" si="59"/>
        <v>10778400481.684591</v>
      </c>
      <c r="FR13" s="126">
        <f t="shared" si="60"/>
        <v>10800301562.5</v>
      </c>
      <c r="FS13" s="183">
        <f t="shared" si="61"/>
        <v>21901080.815408707</v>
      </c>
      <c r="FT13" s="165">
        <f t="shared" si="15"/>
        <v>0</v>
      </c>
    </row>
    <row r="14" spans="1:176" ht="13">
      <c r="A14" s="134" t="s">
        <v>83</v>
      </c>
      <c r="B14" s="121" t="s">
        <v>29</v>
      </c>
      <c r="C14" s="3" t="s">
        <v>29</v>
      </c>
      <c r="D14" s="3" t="s">
        <v>92</v>
      </c>
      <c r="E14" s="140">
        <v>399500</v>
      </c>
      <c r="F14" s="140">
        <f>SUMIFS('121'!E:E,'121'!B:B,'Amortised cost 31.12.2023'!C14)</f>
        <v>43146399500</v>
      </c>
      <c r="G14" s="140">
        <v>100000</v>
      </c>
      <c r="H14" s="239">
        <f>E14*G14</f>
        <v>39950000000</v>
      </c>
      <c r="I14" s="256">
        <f t="shared" ref="I14:I16" si="77">(J14-F14)/F14</f>
        <v>1.1925815501708318E-2</v>
      </c>
      <c r="J14" s="234">
        <v>43660955500</v>
      </c>
      <c r="K14" s="124">
        <v>44628</v>
      </c>
      <c r="L14" s="124">
        <v>45723</v>
      </c>
      <c r="M14" s="253" t="s">
        <v>17</v>
      </c>
      <c r="N14" s="124">
        <v>45279</v>
      </c>
      <c r="O14" s="124">
        <v>45279</v>
      </c>
      <c r="P14" s="141">
        <f t="shared" ref="P14:P16" si="78">(J14-F14)*($O$1-O14+1)/(Q14-O14)</f>
        <v>104519187.5</v>
      </c>
      <c r="Q14" s="124">
        <v>45343</v>
      </c>
      <c r="R14" s="121"/>
      <c r="S14" s="121"/>
      <c r="T14" s="151">
        <f t="shared" si="5"/>
        <v>44628</v>
      </c>
      <c r="U14" s="124">
        <f t="shared" si="6"/>
        <v>45723</v>
      </c>
      <c r="V14" s="128">
        <f t="shared" si="66"/>
        <v>1.1925815501708318E-2</v>
      </c>
      <c r="W14" s="121" t="s">
        <v>155</v>
      </c>
      <c r="X14" s="121" t="str">
        <f t="shared" si="7"/>
        <v>Năm</v>
      </c>
      <c r="Y14" s="121" cm="1">
        <f t="array" ref="Y14">_xlfn.IFS(X14="Quý",3,LEFT(X14,1)="6",6,X14="Năm",12,X14="Cuối kỳ",1)</f>
        <v>12</v>
      </c>
      <c r="Z14" s="124">
        <f t="shared" si="67"/>
        <v>45279</v>
      </c>
      <c r="AA14" s="175">
        <f t="shared" ref="AA14:AA16" si="79">(J14-F14)*($O$1-O14+1)/(Q14-O14)</f>
        <v>104519187.5</v>
      </c>
      <c r="AB14" s="152">
        <f>IF(X14="Cuối kỳ",1,ROUND((U14-T14)/30/Y14,0))</f>
        <v>3</v>
      </c>
      <c r="AC14" s="126">
        <f t="shared" si="9"/>
        <v>0</v>
      </c>
      <c r="AD14" s="126"/>
      <c r="AE14" s="151">
        <v>45279</v>
      </c>
      <c r="AF14" s="124">
        <v>45343</v>
      </c>
      <c r="AG14" s="124"/>
      <c r="AH14" s="124"/>
      <c r="AI14" s="124"/>
      <c r="AJ14" s="124"/>
      <c r="AK14" s="124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4"/>
      <c r="AZ14" s="124"/>
      <c r="BA14" s="124"/>
      <c r="BB14" s="124"/>
      <c r="BC14" s="124"/>
      <c r="BW14" s="141">
        <f t="shared" si="75"/>
        <v>-380</v>
      </c>
      <c r="BY14" s="240">
        <v>-43146399500</v>
      </c>
      <c r="BZ14" s="140">
        <v>43660955500</v>
      </c>
      <c r="CA14" s="140"/>
      <c r="DD14" s="152"/>
      <c r="DQ14" s="128">
        <f t="shared" si="11"/>
        <v>5.8024321040611934E-2</v>
      </c>
      <c r="DR14" s="247">
        <f t="shared" si="12"/>
        <v>6.9950136542320254E-2</v>
      </c>
      <c r="DS14" s="250"/>
      <c r="DT14" s="161">
        <f t="shared" si="13"/>
        <v>43146399500</v>
      </c>
      <c r="DU14" s="140">
        <f t="shared" si="76"/>
        <v>-20.667671203613281</v>
      </c>
      <c r="DV14" s="140"/>
      <c r="DW14" s="140"/>
      <c r="DX14" s="140"/>
      <c r="DY14" s="140"/>
      <c r="DZ14" s="140"/>
      <c r="EA14" s="140"/>
      <c r="EB14" s="140"/>
      <c r="EC14" s="140"/>
      <c r="ED14" s="140"/>
      <c r="EE14" s="140"/>
      <c r="EF14" s="140"/>
      <c r="EG14" s="140"/>
      <c r="EH14" s="140"/>
      <c r="EI14" s="140"/>
      <c r="EJ14" s="140"/>
      <c r="EK14" s="140"/>
      <c r="EL14" s="140"/>
      <c r="EM14" s="140"/>
      <c r="EN14" s="140"/>
      <c r="EO14" s="140"/>
      <c r="EP14" s="140"/>
      <c r="EQ14" s="140"/>
      <c r="ER14" s="140"/>
      <c r="ES14" s="140"/>
      <c r="ET14" s="140"/>
      <c r="EU14" s="140"/>
      <c r="EV14" s="140"/>
      <c r="EW14" s="140"/>
      <c r="EX14" s="140"/>
      <c r="EY14" s="140"/>
      <c r="EZ14" s="140"/>
      <c r="FA14" s="140"/>
      <c r="FB14" s="140"/>
      <c r="FC14" s="140"/>
      <c r="FD14" s="140"/>
      <c r="FE14" s="140"/>
      <c r="FF14" s="140"/>
      <c r="FG14" s="140"/>
      <c r="FH14" s="140"/>
      <c r="FI14" s="140"/>
      <c r="FJ14" s="140"/>
      <c r="FK14" s="141"/>
      <c r="FM14" s="134">
        <f t="shared" si="63"/>
        <v>12</v>
      </c>
      <c r="FN14" s="166">
        <v>0</v>
      </c>
      <c r="FO14" s="124">
        <f>HLOOKUP(FN14,$AE$2:BW14,FM14+1,0)</f>
        <v>45279</v>
      </c>
      <c r="FP14" s="140">
        <f>HLOOKUP(FN14,$DT$2:FK14,FM14+1,0)</f>
        <v>43146399500</v>
      </c>
      <c r="FQ14" s="182">
        <f t="shared" si="59"/>
        <v>43163219608.222275</v>
      </c>
      <c r="FR14" s="126">
        <f t="shared" si="60"/>
        <v>43250918687.5</v>
      </c>
      <c r="FS14" s="183">
        <f t="shared" si="61"/>
        <v>87699079.27772522</v>
      </c>
      <c r="FT14" s="165">
        <f t="shared" si="15"/>
        <v>0</v>
      </c>
    </row>
    <row r="15" spans="1:176">
      <c r="A15" s="134" t="s">
        <v>87</v>
      </c>
      <c r="B15" s="3" t="s">
        <v>94</v>
      </c>
      <c r="C15" s="3" t="s">
        <v>94</v>
      </c>
      <c r="D15" s="3" t="s">
        <v>92</v>
      </c>
      <c r="E15" s="140">
        <v>350000</v>
      </c>
      <c r="F15" s="140">
        <v>34973750000</v>
      </c>
      <c r="G15" s="140">
        <v>100000</v>
      </c>
      <c r="H15" s="140">
        <f t="shared" ref="H15:H29" si="80">E15*G15</f>
        <v>35000000000</v>
      </c>
      <c r="I15" s="256">
        <f t="shared" si="77"/>
        <v>5.834375781836377E-3</v>
      </c>
      <c r="J15" s="234">
        <v>35177800000</v>
      </c>
      <c r="K15" s="124">
        <v>44266</v>
      </c>
      <c r="L15" s="124">
        <v>45362</v>
      </c>
      <c r="M15" s="253" t="s">
        <v>22</v>
      </c>
      <c r="N15" s="124">
        <v>45278</v>
      </c>
      <c r="O15" s="124">
        <v>45278</v>
      </c>
      <c r="P15" s="141">
        <f t="shared" si="78"/>
        <v>92151612.903225809</v>
      </c>
      <c r="Q15" s="124">
        <v>45309</v>
      </c>
      <c r="R15" s="121"/>
      <c r="T15" s="151">
        <f t="shared" si="5"/>
        <v>44266</v>
      </c>
      <c r="U15" s="124">
        <f t="shared" si="6"/>
        <v>45362</v>
      </c>
      <c r="V15" s="128">
        <f t="shared" si="66"/>
        <v>5.834375781836377E-3</v>
      </c>
      <c r="W15" s="121" t="s">
        <v>155</v>
      </c>
      <c r="X15" s="121" t="str">
        <f t="shared" si="7"/>
        <v>Quý</v>
      </c>
      <c r="Y15" s="121" cm="1">
        <f t="array" ref="Y15">_xlfn.IFS(X15="Quý",3,LEFT(X15,1)="6",6,X15="Năm",12,X15="Cuối kỳ",1)</f>
        <v>3</v>
      </c>
      <c r="Z15" s="124">
        <f t="shared" si="67"/>
        <v>45278</v>
      </c>
      <c r="AA15" s="175">
        <f t="shared" si="79"/>
        <v>92151612.903225809</v>
      </c>
      <c r="AB15" s="152">
        <f>IF(X15="Cuối kỳ",1,ROUND((U15-T15)/30/Y15,0))</f>
        <v>12</v>
      </c>
      <c r="AC15" s="126">
        <f t="shared" si="9"/>
        <v>0</v>
      </c>
      <c r="AD15" s="126"/>
      <c r="AE15" s="151">
        <v>45278</v>
      </c>
      <c r="AF15" s="124">
        <v>45309</v>
      </c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4"/>
      <c r="AT15" s="124"/>
      <c r="AU15" s="124"/>
      <c r="AV15" s="124"/>
      <c r="AW15" s="124"/>
      <c r="AX15" s="124"/>
      <c r="AY15" s="124"/>
      <c r="AZ15" s="124"/>
      <c r="BA15" s="124"/>
      <c r="BB15" s="124"/>
      <c r="BC15" s="124"/>
      <c r="BW15" s="141">
        <f t="shared" si="75"/>
        <v>-53</v>
      </c>
      <c r="BY15" s="161">
        <v>-34973750000</v>
      </c>
      <c r="BZ15" s="140">
        <v>35177800000</v>
      </c>
      <c r="DD15" s="152"/>
      <c r="DQ15" s="128">
        <f t="shared" si="11"/>
        <v>6.5061376528916498E-2</v>
      </c>
      <c r="DR15" s="247">
        <f t="shared" si="12"/>
        <v>7.0895752310752874E-2</v>
      </c>
      <c r="DS15" s="250"/>
      <c r="DT15" s="161">
        <f t="shared" si="13"/>
        <v>34973750000</v>
      </c>
      <c r="DU15" s="140">
        <f t="shared" si="76"/>
        <v>1.8594512939453125</v>
      </c>
      <c r="DV15" s="140">
        <f t="shared" ref="DV15:DV29" si="81">DU15*(1+$DR15)^((AG15-AF15)/365)-CA15</f>
        <v>3.7734539137336987E-4</v>
      </c>
      <c r="DW15" s="140">
        <f t="shared" ref="DW15:DW29" si="82">DV15*(1+$DR15)^((AH15-AG15)/365)-CB15</f>
        <v>3.7734539137336987E-4</v>
      </c>
      <c r="DX15" s="140">
        <f t="shared" ref="DX15:DX29" si="83">DW15*(1+$DR15)^((AI15-AH15)/365)-CC15</f>
        <v>3.7734539137336987E-4</v>
      </c>
      <c r="DY15" s="140">
        <f t="shared" ref="DY15:DY29" si="84">DX15*(1+$DR15)^((AJ15-AI15)/365)-CD15</f>
        <v>3.7734539137336987E-4</v>
      </c>
      <c r="DZ15" s="140">
        <f t="shared" ref="DZ15:DZ29" si="85">DY15*(1+$DR15)^((AK15-AJ15)/365)-CE15</f>
        <v>3.7734539137336987E-4</v>
      </c>
      <c r="EA15" s="140">
        <f t="shared" ref="EA15:EA29" si="86">DZ15*(1+$DR15)^((AL15-AK15)/365)-CF15</f>
        <v>3.7734539137336987E-4</v>
      </c>
      <c r="EB15" s="140">
        <f t="shared" ref="EB15:EB29" si="87">EA15*(1+$DR15)^((AM15-AL15)/365)-CG15</f>
        <v>3.7734539137336987E-4</v>
      </c>
      <c r="EC15" s="140">
        <f t="shared" ref="EC15:EC29" si="88">EB15*(1+$DR15)^((AN15-AM15)/365)-CH15</f>
        <v>3.7734539137336987E-4</v>
      </c>
      <c r="ED15" s="140">
        <f t="shared" ref="ED15:ED29" si="89">EC15*(1+$DR15)^((AO15-AN15)/365)-CI15</f>
        <v>3.7734539137336987E-4</v>
      </c>
      <c r="EE15" s="140">
        <f t="shared" ref="EE15:EE29" si="90">ED15*(1+$DR15)^((AP15-AO15)/365)-CJ15</f>
        <v>3.7734539137336987E-4</v>
      </c>
      <c r="EF15" s="140">
        <f t="shared" ref="EF15:EF29" si="91">EE15*(1+$DR15)^((AQ15-AP15)/365)-CK15</f>
        <v>3.7734539137336987E-4</v>
      </c>
      <c r="EG15" s="140">
        <f t="shared" ref="EG15:EG29" si="92">EF15*(1+$DR15)^((AR15-AQ15)/365)-CL15</f>
        <v>3.7734539137336987E-4</v>
      </c>
      <c r="EH15" s="140">
        <f t="shared" ref="EH15:EH29" si="93">EG15*(1+$DR15)^((AS15-AR15)/365)-CM15</f>
        <v>3.7734539137336987E-4</v>
      </c>
      <c r="EI15" s="140">
        <f t="shared" ref="EI15:EI29" si="94">EH15*(1+$DR15)^((AT15-AS15)/365)-CN15</f>
        <v>3.7734539137336987E-4</v>
      </c>
      <c r="EJ15" s="140">
        <f t="shared" ref="EJ15:EJ29" si="95">EI15*(1+$DR15)^((AU15-AT15)/365)-CO15</f>
        <v>3.7734539137336987E-4</v>
      </c>
      <c r="EK15" s="140">
        <f t="shared" ref="EK15:EK29" si="96">EJ15*(1+$DR15)^((AV15-AU15)/365)-CP15</f>
        <v>3.7734539137336987E-4</v>
      </c>
      <c r="EL15" s="140">
        <f t="shared" ref="EL15:EL29" si="97">EK15*(1+$DR15)^((AW15-AV15)/365)-CQ15</f>
        <v>3.7734539137336987E-4</v>
      </c>
      <c r="EM15" s="140">
        <f t="shared" ref="EM15:EM29" si="98">EL15*(1+$DR15)^((AX15-AW15)/365)-CR15</f>
        <v>3.7734539137336987E-4</v>
      </c>
      <c r="EN15" s="140">
        <f t="shared" ref="EN15:EN29" si="99">EM15*(1+$DR15)^((AY15-AX15)/365)-CS15</f>
        <v>3.7734539137336987E-4</v>
      </c>
      <c r="EO15" s="140">
        <f t="shared" ref="EO15:EO29" si="100">EN15*(1+$DR15)^((AZ15-AY15)/365)-CT15</f>
        <v>3.7734539137336987E-4</v>
      </c>
      <c r="EP15" s="140">
        <f t="shared" ref="EP15:EP29" si="101">EO15*(1+$DR15)^((BA15-AZ15)/365)-CU15</f>
        <v>3.7734539137336987E-4</v>
      </c>
      <c r="EQ15" s="140">
        <f t="shared" ref="EQ15:EQ29" si="102">EP15*(1+$DR15)^((BB15-BA15)/365)-CV15</f>
        <v>3.7734539137336987E-4</v>
      </c>
      <c r="ER15" s="140">
        <f t="shared" ref="ER15:ER29" si="103">EQ15*(1+$DR15)^((BC15-BB15)/365)-CW15</f>
        <v>3.7734539137336987E-4</v>
      </c>
      <c r="ES15" s="140">
        <f t="shared" ref="ES15:ES29" si="104">ER15*(1+$DR15)^((BD15-BC15)/365)-CX15</f>
        <v>3.7734539137336987E-4</v>
      </c>
      <c r="ET15" s="140">
        <f t="shared" ref="ET15:ET29" si="105">ES15*(1+$DR15)^((BE15-BD15)/365)-CY15</f>
        <v>3.7734539137336987E-4</v>
      </c>
      <c r="EU15" s="140">
        <f t="shared" ref="EU15:EU29" si="106">ET15*(1+$DR15)^((BF15-BE15)/365)-CZ15</f>
        <v>3.7734539137336987E-4</v>
      </c>
      <c r="EV15" s="140">
        <f t="shared" ref="EV15:EV29" si="107">EU15*(1+$DR15)^((BG15-BF15)/365)-DA15</f>
        <v>3.7734539137336987E-4</v>
      </c>
      <c r="EW15" s="140">
        <f t="shared" ref="EW15:EW29" si="108">EV15*(1+$DR15)^((BH15-BG15)/365)-DB15</f>
        <v>3.7734539137336987E-4</v>
      </c>
      <c r="EX15" s="140">
        <f t="shared" ref="EX15:EX29" si="109">EW15*(1+$DR15)^((BI15-BH15)/365)-DC15</f>
        <v>3.7734539137336987E-4</v>
      </c>
      <c r="EY15" s="140">
        <f t="shared" ref="EY15:EY29" si="110">EX15*(1+$DR15)^((BJ15-BI15)/365)-DD15</f>
        <v>3.7734539137336987E-4</v>
      </c>
      <c r="EZ15" s="140">
        <f t="shared" ref="EZ15:EZ29" si="111">EY15*(1+$DR15)^((BK15-BJ15)/365)-DE15</f>
        <v>3.7734539137336987E-4</v>
      </c>
      <c r="FA15" s="140">
        <f t="shared" ref="FA15:FA29" si="112">EZ15*(1+$DR15)^((BL15-BK15)/365)-DF15</f>
        <v>3.7734539137336987E-4</v>
      </c>
      <c r="FB15" s="140">
        <f t="shared" ref="FB15:FB29" si="113">FA15*(1+$DR15)^((BM15-BL15)/365)-DG15</f>
        <v>3.7734539137336987E-4</v>
      </c>
      <c r="FC15" s="140">
        <f t="shared" ref="FC15:FC29" si="114">FB15*(1+$DR15)^((BN15-BM15)/365)-DH15</f>
        <v>3.7734539137336987E-4</v>
      </c>
      <c r="FD15" s="140">
        <f t="shared" ref="FD15:FD29" si="115">FC15*(1+$DR15)^((BO15-BN15)/365)-DI15</f>
        <v>3.7734539137336987E-4</v>
      </c>
      <c r="FE15" s="140">
        <f t="shared" ref="FE15:FE29" si="116">FD15*(1+$DR15)^((BP15-BO15)/365)-DJ15</f>
        <v>3.7734539137336987E-4</v>
      </c>
      <c r="FF15" s="140">
        <f t="shared" ref="FF15:FF29" si="117">FE15*(1+$DR15)^((BQ15-BP15)/365)-DK15</f>
        <v>3.7734539137336987E-4</v>
      </c>
      <c r="FG15" s="140">
        <f t="shared" ref="FG15:FG29" si="118">FF15*(1+$DR15)^((BR15-BQ15)/365)-DL15</f>
        <v>3.7734539137336987E-4</v>
      </c>
      <c r="FH15" s="140">
        <f t="shared" ref="FH15:FH29" si="119">FG15*(1+$DR15)^((BS15-BR15)/365)-DM15</f>
        <v>3.7734539137336987E-4</v>
      </c>
      <c r="FI15" s="140">
        <f t="shared" ref="FI15:FI29" si="120">FH15*(1+$DR15)^((BT15-BS15)/365)-DN15</f>
        <v>3.7734539137336987E-4</v>
      </c>
      <c r="FJ15" s="140">
        <f t="shared" ref="FJ15:FJ29" si="121">FI15*(1+$DR15)^((BU15-BT15)/365)-DO15</f>
        <v>3.7734539137336987E-4</v>
      </c>
      <c r="FK15" s="141">
        <f t="shared" ref="FK15:FK29" si="122">FJ15*(1+$DR15)^((BV15-BU15)/365)-DP15</f>
        <v>3.7734539137336987E-4</v>
      </c>
      <c r="FM15" s="134">
        <f t="shared" si="63"/>
        <v>13</v>
      </c>
      <c r="FN15" s="166">
        <v>0</v>
      </c>
      <c r="FO15" s="124">
        <f>HLOOKUP(FN15,$AE$2:BW15,FM15+1,0)</f>
        <v>45278</v>
      </c>
      <c r="FP15" s="140">
        <f>HLOOKUP(FN15,$DT$2:FK15,FM15+1,0)</f>
        <v>34973750000</v>
      </c>
      <c r="FQ15" s="182">
        <f t="shared" si="59"/>
        <v>34980997166.352104</v>
      </c>
      <c r="FR15" s="126">
        <f t="shared" si="60"/>
        <v>35065901612.903229</v>
      </c>
      <c r="FS15" s="183">
        <f t="shared" si="61"/>
        <v>84904446.551124573</v>
      </c>
      <c r="FT15" s="165">
        <f t="shared" si="15"/>
        <v>0</v>
      </c>
    </row>
    <row r="16" spans="1:176" ht="13">
      <c r="A16" s="134" t="s">
        <v>87</v>
      </c>
      <c r="B16" s="121" t="s">
        <v>27</v>
      </c>
      <c r="C16" s="3" t="s">
        <v>27</v>
      </c>
      <c r="D16" s="3" t="s">
        <v>14</v>
      </c>
      <c r="E16" s="140">
        <v>200000</v>
      </c>
      <c r="F16" s="140">
        <v>21548400000</v>
      </c>
      <c r="G16" s="140">
        <v>100000</v>
      </c>
      <c r="H16" s="140">
        <f t="shared" si="80"/>
        <v>20000000000</v>
      </c>
      <c r="I16" s="256">
        <f t="shared" si="77"/>
        <v>5.8380204562751758E-3</v>
      </c>
      <c r="J16" s="140">
        <v>21674200000</v>
      </c>
      <c r="K16" s="124">
        <v>44627</v>
      </c>
      <c r="L16" s="124">
        <v>45358</v>
      </c>
      <c r="M16" s="253" t="s">
        <v>17</v>
      </c>
      <c r="N16" s="124">
        <v>45278</v>
      </c>
      <c r="O16" s="124">
        <v>45278</v>
      </c>
      <c r="P16" s="141">
        <f t="shared" si="78"/>
        <v>56812903.225806452</v>
      </c>
      <c r="Q16" s="235">
        <v>45309</v>
      </c>
      <c r="R16" s="121"/>
      <c r="S16" s="121"/>
      <c r="T16" s="151">
        <f t="shared" si="5"/>
        <v>44627</v>
      </c>
      <c r="U16" s="124">
        <f t="shared" si="6"/>
        <v>45358</v>
      </c>
      <c r="V16" s="128">
        <f t="shared" si="66"/>
        <v>5.8380204562751758E-3</v>
      </c>
      <c r="W16" s="121" t="s">
        <v>155</v>
      </c>
      <c r="X16" s="121" t="str">
        <f t="shared" si="7"/>
        <v>Năm</v>
      </c>
      <c r="Y16" s="121" cm="1">
        <f t="array" ref="Y16">_xlfn.IFS(X16="Quý",3,LEFT(X16,1)="6",6,X16="Năm",12,X16="Cuối kỳ",1)</f>
        <v>12</v>
      </c>
      <c r="Z16" s="124">
        <f t="shared" si="67"/>
        <v>45278</v>
      </c>
      <c r="AA16" s="175">
        <f t="shared" si="79"/>
        <v>56812903.225806452</v>
      </c>
      <c r="AB16" s="152">
        <v>1</v>
      </c>
      <c r="AC16" s="126">
        <f t="shared" si="9"/>
        <v>0</v>
      </c>
      <c r="AD16" s="126"/>
      <c r="AE16" s="151">
        <v>45278</v>
      </c>
      <c r="AF16" s="235">
        <v>45309</v>
      </c>
      <c r="AG16" s="124"/>
      <c r="AH16" s="124"/>
      <c r="AI16" s="124"/>
      <c r="AJ16" s="124"/>
      <c r="AK16" s="124"/>
      <c r="AL16" s="124"/>
      <c r="AM16" s="124"/>
      <c r="AN16" s="124"/>
      <c r="AO16" s="124"/>
      <c r="AP16" s="124"/>
      <c r="AQ16" s="124"/>
      <c r="AR16" s="124"/>
      <c r="AS16" s="124"/>
      <c r="AT16" s="124"/>
      <c r="AU16" s="124"/>
      <c r="AV16" s="124"/>
      <c r="AW16" s="124"/>
      <c r="AX16" s="124"/>
      <c r="AY16" s="124"/>
      <c r="AZ16" s="124"/>
      <c r="BA16" s="124"/>
      <c r="BB16" s="124"/>
      <c r="BC16" s="124"/>
      <c r="BW16" s="141">
        <f t="shared" si="75"/>
        <v>-49</v>
      </c>
      <c r="BY16" s="161">
        <v>-21548400000</v>
      </c>
      <c r="BZ16" s="140">
        <v>21674200000</v>
      </c>
      <c r="DD16" s="152"/>
      <c r="DQ16" s="128">
        <f t="shared" si="11"/>
        <v>6.5103418814698041E-2</v>
      </c>
      <c r="DR16" s="247">
        <f t="shared" si="12"/>
        <v>7.0941439270973211E-2</v>
      </c>
      <c r="DS16" s="250"/>
      <c r="DT16" s="161">
        <f t="shared" si="13"/>
        <v>21548400000</v>
      </c>
      <c r="DU16" s="140">
        <f t="shared" si="76"/>
        <v>-3.70916748046875</v>
      </c>
      <c r="DV16" s="140">
        <f t="shared" si="81"/>
        <v>-7.4873954640192566E-4</v>
      </c>
      <c r="DW16" s="140">
        <f t="shared" si="82"/>
        <v>-7.4873954640192566E-4</v>
      </c>
      <c r="DX16" s="140">
        <f t="shared" si="83"/>
        <v>-7.4873954640192566E-4</v>
      </c>
      <c r="DY16" s="140">
        <f t="shared" si="84"/>
        <v>-7.4873954640192566E-4</v>
      </c>
      <c r="DZ16" s="140">
        <f t="shared" si="85"/>
        <v>-7.4873954640192566E-4</v>
      </c>
      <c r="EA16" s="140">
        <f t="shared" si="86"/>
        <v>-7.4873954640192566E-4</v>
      </c>
      <c r="EB16" s="140">
        <f t="shared" si="87"/>
        <v>-7.4873954640192566E-4</v>
      </c>
      <c r="EC16" s="140">
        <f t="shared" si="88"/>
        <v>-7.4873954640192566E-4</v>
      </c>
      <c r="ED16" s="140">
        <f t="shared" si="89"/>
        <v>-7.4873954640192566E-4</v>
      </c>
      <c r="EE16" s="140">
        <f t="shared" si="90"/>
        <v>-7.4873954640192566E-4</v>
      </c>
      <c r="EF16" s="140">
        <f t="shared" si="91"/>
        <v>-7.4873954640192566E-4</v>
      </c>
      <c r="EG16" s="140">
        <f t="shared" si="92"/>
        <v>-7.4873954640192566E-4</v>
      </c>
      <c r="EH16" s="140">
        <f t="shared" si="93"/>
        <v>-7.4873954640192566E-4</v>
      </c>
      <c r="EI16" s="140">
        <f t="shared" si="94"/>
        <v>-7.4873954640192566E-4</v>
      </c>
      <c r="EJ16" s="140">
        <f t="shared" si="95"/>
        <v>-7.4873954640192566E-4</v>
      </c>
      <c r="EK16" s="140">
        <f t="shared" si="96"/>
        <v>-7.4873954640192566E-4</v>
      </c>
      <c r="EL16" s="140">
        <f t="shared" si="97"/>
        <v>-7.4873954640192566E-4</v>
      </c>
      <c r="EM16" s="140">
        <f t="shared" si="98"/>
        <v>-7.4873954640192566E-4</v>
      </c>
      <c r="EN16" s="140">
        <f t="shared" si="99"/>
        <v>-7.4873954640192566E-4</v>
      </c>
      <c r="EO16" s="140">
        <f t="shared" si="100"/>
        <v>-7.4873954640192566E-4</v>
      </c>
      <c r="EP16" s="140">
        <f t="shared" si="101"/>
        <v>-7.4873954640192566E-4</v>
      </c>
      <c r="EQ16" s="140">
        <f t="shared" si="102"/>
        <v>-7.4873954640192566E-4</v>
      </c>
      <c r="ER16" s="140">
        <f t="shared" si="103"/>
        <v>-7.4873954640192566E-4</v>
      </c>
      <c r="ES16" s="140">
        <f t="shared" si="104"/>
        <v>-7.4873954640192566E-4</v>
      </c>
      <c r="ET16" s="140">
        <f t="shared" si="105"/>
        <v>-7.4873954640192566E-4</v>
      </c>
      <c r="EU16" s="140">
        <f t="shared" si="106"/>
        <v>-7.4873954640192566E-4</v>
      </c>
      <c r="EV16" s="140">
        <f t="shared" si="107"/>
        <v>-7.4873954640192566E-4</v>
      </c>
      <c r="EW16" s="140">
        <f t="shared" si="108"/>
        <v>-7.4873954640192566E-4</v>
      </c>
      <c r="EX16" s="140">
        <f t="shared" si="109"/>
        <v>-7.4873954640192566E-4</v>
      </c>
      <c r="EY16" s="140">
        <f t="shared" si="110"/>
        <v>-7.4873954640192566E-4</v>
      </c>
      <c r="EZ16" s="140">
        <f t="shared" si="111"/>
        <v>-7.4873954640192566E-4</v>
      </c>
      <c r="FA16" s="140">
        <f t="shared" si="112"/>
        <v>-7.4873954640192566E-4</v>
      </c>
      <c r="FB16" s="140">
        <f t="shared" si="113"/>
        <v>-7.4873954640192566E-4</v>
      </c>
      <c r="FC16" s="140">
        <f t="shared" si="114"/>
        <v>-7.4873954640192566E-4</v>
      </c>
      <c r="FD16" s="140">
        <f t="shared" si="115"/>
        <v>-7.4873954640192566E-4</v>
      </c>
      <c r="FE16" s="140">
        <f t="shared" si="116"/>
        <v>-7.4873954640192566E-4</v>
      </c>
      <c r="FF16" s="140">
        <f t="shared" si="117"/>
        <v>-7.4873954640192566E-4</v>
      </c>
      <c r="FG16" s="140">
        <f t="shared" si="118"/>
        <v>-7.4873954640192566E-4</v>
      </c>
      <c r="FH16" s="140">
        <f t="shared" si="119"/>
        <v>-7.4873954640192566E-4</v>
      </c>
      <c r="FI16" s="140">
        <f t="shared" si="120"/>
        <v>-7.4873954640192566E-4</v>
      </c>
      <c r="FJ16" s="140">
        <f t="shared" si="121"/>
        <v>-7.4873954640192566E-4</v>
      </c>
      <c r="FK16" s="141">
        <f t="shared" si="122"/>
        <v>-7.4873954640192566E-4</v>
      </c>
      <c r="FM16" s="134">
        <f t="shared" si="63"/>
        <v>14</v>
      </c>
      <c r="FN16" s="166">
        <v>0</v>
      </c>
      <c r="FO16" s="124">
        <f>HLOOKUP(FN16,$AE$2:BW16,FM16+1,0)</f>
        <v>45278</v>
      </c>
      <c r="FP16" s="140">
        <f>HLOOKUP(FN16,$DT$2:FK16,FM16+1,0)</f>
        <v>21548400000</v>
      </c>
      <c r="FQ16" s="182">
        <f t="shared" si="59"/>
        <v>21552867983.006878</v>
      </c>
      <c r="FR16" s="126">
        <f t="shared" si="60"/>
        <v>21605212903.225807</v>
      </c>
      <c r="FS16" s="183">
        <f t="shared" si="61"/>
        <v>52344920.218929291</v>
      </c>
      <c r="FT16" s="165">
        <f t="shared" si="15"/>
        <v>0</v>
      </c>
    </row>
    <row r="17" spans="1:176">
      <c r="A17" s="134" t="s">
        <v>87</v>
      </c>
      <c r="B17" s="121" t="s">
        <v>88</v>
      </c>
      <c r="C17" s="3" t="s">
        <v>90</v>
      </c>
      <c r="D17" s="3" t="s">
        <v>14</v>
      </c>
      <c r="E17" s="135">
        <v>50000</v>
      </c>
      <c r="F17" s="135">
        <v>50887450000</v>
      </c>
      <c r="G17" s="135">
        <v>1000000</v>
      </c>
      <c r="H17" s="135">
        <f t="shared" si="80"/>
        <v>50000000000</v>
      </c>
      <c r="I17" s="139">
        <v>0.115</v>
      </c>
      <c r="J17" s="139"/>
      <c r="K17" s="124">
        <v>44071</v>
      </c>
      <c r="L17" s="124">
        <v>45519</v>
      </c>
      <c r="M17" s="253" t="s">
        <v>22</v>
      </c>
      <c r="N17" s="124">
        <v>45273</v>
      </c>
      <c r="O17" s="124">
        <v>45273</v>
      </c>
      <c r="P17" s="137">
        <f t="shared" si="71"/>
        <v>299315068.49315071</v>
      </c>
      <c r="R17" s="121"/>
      <c r="T17" s="151">
        <f t="shared" si="5"/>
        <v>44071</v>
      </c>
      <c r="U17" s="124">
        <f t="shared" si="6"/>
        <v>45519</v>
      </c>
      <c r="V17" s="128">
        <f t="shared" si="66"/>
        <v>0.115</v>
      </c>
      <c r="W17" s="121" t="s">
        <v>155</v>
      </c>
      <c r="X17" s="121" t="str">
        <f t="shared" si="7"/>
        <v>Quý</v>
      </c>
      <c r="Y17" s="121" cm="1">
        <f t="array" ref="Y17">_xlfn.IFS(X17="Quý",3,LEFT(X17,1)="6",6,X17="Năm",12,X17="Cuối kỳ",1)</f>
        <v>3</v>
      </c>
      <c r="Z17" s="124">
        <f t="shared" si="67"/>
        <v>45273</v>
      </c>
      <c r="AA17" s="174">
        <f t="shared" si="72"/>
        <v>299315068.49315071</v>
      </c>
      <c r="AB17" s="152">
        <f t="shared" ref="AB17:AB29" si="123">IF(X17="Cuối kỳ",1,ROUND((U17-T17)/30/Y17,0))</f>
        <v>16</v>
      </c>
      <c r="AC17" s="126">
        <f t="shared" si="9"/>
        <v>0</v>
      </c>
      <c r="AD17" s="126"/>
      <c r="AE17" s="151">
        <v>45278</v>
      </c>
      <c r="AF17" s="235">
        <v>45350</v>
      </c>
      <c r="AG17" s="235">
        <v>45440</v>
      </c>
      <c r="AH17" s="235">
        <v>45519</v>
      </c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24"/>
      <c r="AZ17" s="124"/>
      <c r="BA17" s="124"/>
      <c r="BB17" s="124"/>
      <c r="BC17" s="124"/>
      <c r="BW17" s="137">
        <f t="shared" si="75"/>
        <v>0</v>
      </c>
      <c r="BY17" s="160">
        <v>-50887450000</v>
      </c>
      <c r="BZ17" s="234">
        <v>1437500000</v>
      </c>
      <c r="CA17" s="234">
        <v>1437500000</v>
      </c>
      <c r="CB17" s="234">
        <v>51260273973</v>
      </c>
      <c r="DD17" s="152"/>
      <c r="DQ17" s="128">
        <f t="shared" si="11"/>
        <v>-1.3818391561508173E-2</v>
      </c>
      <c r="DR17" s="248">
        <f t="shared" si="12"/>
        <v>0.10118160843849183</v>
      </c>
      <c r="DS17" s="250"/>
      <c r="DT17" s="160">
        <f t="shared" si="13"/>
        <v>50887450000</v>
      </c>
      <c r="DU17" s="135">
        <f t="shared" si="76"/>
        <v>50426713512.27343</v>
      </c>
      <c r="DV17" s="135">
        <f t="shared" si="81"/>
        <v>50202002471.51001</v>
      </c>
      <c r="DW17" s="135">
        <f t="shared" si="82"/>
        <v>-12.999191284179688</v>
      </c>
      <c r="DX17" s="135">
        <f t="shared" si="83"/>
        <v>-7.8289580186343801E-5</v>
      </c>
      <c r="DY17" s="135">
        <f t="shared" si="84"/>
        <v>-7.8289580186343801E-5</v>
      </c>
      <c r="DZ17" s="135">
        <f t="shared" si="85"/>
        <v>-7.8289580186343801E-5</v>
      </c>
      <c r="EA17" s="135">
        <f t="shared" si="86"/>
        <v>-7.8289580186343801E-5</v>
      </c>
      <c r="EB17" s="135">
        <f t="shared" si="87"/>
        <v>-7.8289580186343801E-5</v>
      </c>
      <c r="EC17" s="135">
        <f t="shared" si="88"/>
        <v>-7.8289580186343801E-5</v>
      </c>
      <c r="ED17" s="135">
        <f t="shared" si="89"/>
        <v>-7.8289580186343801E-5</v>
      </c>
      <c r="EE17" s="135">
        <f t="shared" si="90"/>
        <v>-7.8289580186343801E-5</v>
      </c>
      <c r="EF17" s="135">
        <f t="shared" si="91"/>
        <v>-7.8289580186343801E-5</v>
      </c>
      <c r="EG17" s="135">
        <f t="shared" si="92"/>
        <v>-7.8289580186343801E-5</v>
      </c>
      <c r="EH17" s="135">
        <f t="shared" si="93"/>
        <v>-7.8289580186343801E-5</v>
      </c>
      <c r="EI17" s="135">
        <f t="shared" si="94"/>
        <v>-7.8289580186343801E-5</v>
      </c>
      <c r="EJ17" s="135">
        <f t="shared" si="95"/>
        <v>-7.8289580186343801E-5</v>
      </c>
      <c r="EK17" s="135">
        <f t="shared" si="96"/>
        <v>-7.8289580186343801E-5</v>
      </c>
      <c r="EL17" s="135">
        <f t="shared" si="97"/>
        <v>-7.8289580186343801E-5</v>
      </c>
      <c r="EM17" s="135">
        <f t="shared" si="98"/>
        <v>-7.8289580186343801E-5</v>
      </c>
      <c r="EN17" s="135">
        <f t="shared" si="99"/>
        <v>-7.8289580186343801E-5</v>
      </c>
      <c r="EO17" s="135">
        <f t="shared" si="100"/>
        <v>-7.8289580186343801E-5</v>
      </c>
      <c r="EP17" s="135">
        <f t="shared" si="101"/>
        <v>-7.8289580186343801E-5</v>
      </c>
      <c r="EQ17" s="135">
        <f t="shared" si="102"/>
        <v>-7.8289580186343801E-5</v>
      </c>
      <c r="ER17" s="135">
        <f t="shared" si="103"/>
        <v>-7.8289580186343801E-5</v>
      </c>
      <c r="ES17" s="135">
        <f t="shared" si="104"/>
        <v>-7.8289580186343801E-5</v>
      </c>
      <c r="ET17" s="135">
        <f t="shared" si="105"/>
        <v>-7.8289580186343801E-5</v>
      </c>
      <c r="EU17" s="135">
        <f t="shared" si="106"/>
        <v>-7.8289580186343801E-5</v>
      </c>
      <c r="EV17" s="135">
        <f t="shared" si="107"/>
        <v>-7.8289580186343801E-5</v>
      </c>
      <c r="EW17" s="135">
        <f t="shared" si="108"/>
        <v>-7.8289580186343801E-5</v>
      </c>
      <c r="EX17" s="135">
        <f t="shared" si="109"/>
        <v>-7.8289580186343801E-5</v>
      </c>
      <c r="EY17" s="135">
        <f t="shared" si="110"/>
        <v>-7.8289580186343801E-5</v>
      </c>
      <c r="EZ17" s="135">
        <f t="shared" si="111"/>
        <v>-7.8289580186343801E-5</v>
      </c>
      <c r="FA17" s="135">
        <f t="shared" si="112"/>
        <v>-7.8289580186343801E-5</v>
      </c>
      <c r="FB17" s="135">
        <f t="shared" si="113"/>
        <v>-7.8289580186343801E-5</v>
      </c>
      <c r="FC17" s="135">
        <f t="shared" si="114"/>
        <v>-7.8289580186343801E-5</v>
      </c>
      <c r="FD17" s="135">
        <f t="shared" si="115"/>
        <v>-7.8289580186343801E-5</v>
      </c>
      <c r="FE17" s="135">
        <f t="shared" si="116"/>
        <v>-7.8289580186343801E-5</v>
      </c>
      <c r="FF17" s="135">
        <f t="shared" si="117"/>
        <v>-7.8289580186343801E-5</v>
      </c>
      <c r="FG17" s="135">
        <f t="shared" si="118"/>
        <v>-7.8289580186343801E-5</v>
      </c>
      <c r="FH17" s="135">
        <f t="shared" si="119"/>
        <v>-7.8289580186343801E-5</v>
      </c>
      <c r="FI17" s="135">
        <f t="shared" si="120"/>
        <v>-7.8289580186343801E-5</v>
      </c>
      <c r="FJ17" s="135">
        <f t="shared" si="121"/>
        <v>-7.8289580186343801E-5</v>
      </c>
      <c r="FK17" s="137">
        <f t="shared" si="122"/>
        <v>-7.8289580186343801E-5</v>
      </c>
      <c r="FM17" s="134">
        <f t="shared" si="63"/>
        <v>15</v>
      </c>
      <c r="FN17" s="164">
        <v>0</v>
      </c>
      <c r="FO17" s="124">
        <f>HLOOKUP(FN17,$AE$2:BW17,FM17+1,0)</f>
        <v>45278</v>
      </c>
      <c r="FP17" s="135">
        <f>HLOOKUP(FN17,$DT$2:FK17,FM17+1,0)</f>
        <v>50887450000</v>
      </c>
      <c r="FQ17" s="180">
        <f t="shared" si="59"/>
        <v>51085123903.140053</v>
      </c>
      <c r="FR17" s="126">
        <f t="shared" si="60"/>
        <v>51186765068.493149</v>
      </c>
      <c r="FS17" s="181">
        <f t="shared" si="61"/>
        <v>101641165.35309601</v>
      </c>
      <c r="FT17" s="165">
        <f t="shared" si="15"/>
        <v>0</v>
      </c>
    </row>
    <row r="18" spans="1:176">
      <c r="A18" s="134" t="s">
        <v>83</v>
      </c>
      <c r="B18" s="121" t="s">
        <v>30</v>
      </c>
      <c r="C18" s="121" t="s">
        <v>30</v>
      </c>
      <c r="D18" s="3" t="s">
        <v>31</v>
      </c>
      <c r="E18" s="121">
        <v>50</v>
      </c>
      <c r="F18" s="140">
        <v>52559423050</v>
      </c>
      <c r="G18" s="140">
        <v>1000000000</v>
      </c>
      <c r="H18" s="140">
        <f t="shared" si="80"/>
        <v>50000000000</v>
      </c>
      <c r="I18" s="222">
        <v>0.1075</v>
      </c>
      <c r="J18" s="222"/>
      <c r="K18" s="124">
        <v>45065</v>
      </c>
      <c r="L18" s="124">
        <v>45615</v>
      </c>
      <c r="M18" s="255" t="s">
        <v>161</v>
      </c>
      <c r="N18" s="254">
        <v>45252</v>
      </c>
      <c r="O18" s="254">
        <f t="shared" ref="O18" si="124">MAX(N18,K18)</f>
        <v>45252</v>
      </c>
      <c r="P18" s="141">
        <f t="shared" si="71"/>
        <v>589041095.8904109</v>
      </c>
      <c r="R18" s="121"/>
      <c r="T18" s="151">
        <f t="shared" si="5"/>
        <v>45065</v>
      </c>
      <c r="U18" s="124">
        <f t="shared" si="6"/>
        <v>45615</v>
      </c>
      <c r="V18" s="128">
        <f t="shared" si="66"/>
        <v>0.1075</v>
      </c>
      <c r="W18" s="121" t="s">
        <v>155</v>
      </c>
      <c r="X18" s="121" t="str">
        <f t="shared" si="7"/>
        <v>Cuối kỳ</v>
      </c>
      <c r="Y18" s="121" cm="1">
        <f t="array" ref="Y18">_xlfn.IFS(X18="Quý",3,LEFT(X18,1)="6",6,X18="Năm",12,X18="Cuối kỳ",1)</f>
        <v>1</v>
      </c>
      <c r="Z18" s="124">
        <f t="shared" si="67"/>
        <v>45252</v>
      </c>
      <c r="AA18" s="175">
        <f t="shared" si="72"/>
        <v>589041095.8904109</v>
      </c>
      <c r="AB18" s="152">
        <f t="shared" si="123"/>
        <v>1</v>
      </c>
      <c r="AC18" s="126">
        <f t="shared" si="9"/>
        <v>0</v>
      </c>
      <c r="AD18" s="126"/>
      <c r="AE18" s="151">
        <v>45072</v>
      </c>
      <c r="AF18" s="124">
        <v>45188</v>
      </c>
      <c r="AG18" s="124">
        <v>45189</v>
      </c>
      <c r="AH18" s="124">
        <v>45194</v>
      </c>
      <c r="AI18" s="124">
        <f>N18</f>
        <v>45252</v>
      </c>
      <c r="AJ18" s="124">
        <v>45615</v>
      </c>
      <c r="AK18" s="124"/>
      <c r="AL18" s="124"/>
      <c r="AM18" s="124"/>
      <c r="AN18" s="124"/>
      <c r="AO18" s="124"/>
      <c r="AP18" s="124"/>
      <c r="AQ18" s="124"/>
      <c r="AR18" s="124"/>
      <c r="AS18" s="124"/>
      <c r="AT18" s="124"/>
      <c r="AU18" s="124"/>
      <c r="AV18" s="124"/>
      <c r="AW18" s="124"/>
      <c r="AX18" s="124"/>
      <c r="AY18" s="124"/>
      <c r="AZ18" s="124"/>
      <c r="BA18" s="124"/>
      <c r="BB18" s="124"/>
      <c r="BC18" s="124"/>
      <c r="BW18" s="141">
        <f t="shared" si="75"/>
        <v>0</v>
      </c>
      <c r="BY18" s="161">
        <v>-50103082200</v>
      </c>
      <c r="BZ18" s="126">
        <v>15543390405</v>
      </c>
      <c r="CA18" s="126">
        <v>15547808220</v>
      </c>
      <c r="CB18" s="140">
        <v>20759863020</v>
      </c>
      <c r="CC18" s="126">
        <f>-F18</f>
        <v>-52559423050</v>
      </c>
      <c r="CD18" s="140">
        <f>H18+H18*V18*(L18-K18)/365</f>
        <v>58099315068.493149</v>
      </c>
      <c r="DD18" s="152"/>
      <c r="DQ18" s="128">
        <f t="shared" si="11"/>
        <v>-2.0539879798887883E-4</v>
      </c>
      <c r="DR18" s="247">
        <f t="shared" si="12"/>
        <v>0.10729460120201112</v>
      </c>
      <c r="DS18" s="250"/>
      <c r="DT18" s="161">
        <f t="shared" si="13"/>
        <v>50103082200</v>
      </c>
      <c r="DU18" s="140">
        <f t="shared" si="76"/>
        <v>36209146823.725868</v>
      </c>
      <c r="DV18" s="140">
        <f t="shared" si="81"/>
        <v>20671450774.323524</v>
      </c>
      <c r="DW18" s="140">
        <f t="shared" si="82"/>
        <v>-59531418.371879578</v>
      </c>
      <c r="DX18" s="140">
        <f t="shared" si="83"/>
        <v>52498919642.895264</v>
      </c>
      <c r="DY18" s="140">
        <f t="shared" si="84"/>
        <v>-236.89605712890625</v>
      </c>
      <c r="DZ18" s="140">
        <f t="shared" si="85"/>
        <v>-6.9642237617368273E-4</v>
      </c>
      <c r="EA18" s="140">
        <f t="shared" si="86"/>
        <v>-6.9642237617368273E-4</v>
      </c>
      <c r="EB18" s="140">
        <f t="shared" si="87"/>
        <v>-6.9642237617368273E-4</v>
      </c>
      <c r="EC18" s="140">
        <f t="shared" si="88"/>
        <v>-6.9642237617368273E-4</v>
      </c>
      <c r="ED18" s="140">
        <f t="shared" si="89"/>
        <v>-6.9642237617368273E-4</v>
      </c>
      <c r="EE18" s="140">
        <f t="shared" si="90"/>
        <v>-6.9642237617368273E-4</v>
      </c>
      <c r="EF18" s="140">
        <f t="shared" si="91"/>
        <v>-6.9642237617368273E-4</v>
      </c>
      <c r="EG18" s="140">
        <f t="shared" si="92"/>
        <v>-6.9642237617368273E-4</v>
      </c>
      <c r="EH18" s="140">
        <f t="shared" si="93"/>
        <v>-6.9642237617368273E-4</v>
      </c>
      <c r="EI18" s="140">
        <f t="shared" si="94"/>
        <v>-6.9642237617368273E-4</v>
      </c>
      <c r="EJ18" s="140">
        <f t="shared" si="95"/>
        <v>-6.9642237617368273E-4</v>
      </c>
      <c r="EK18" s="140">
        <f t="shared" si="96"/>
        <v>-6.9642237617368273E-4</v>
      </c>
      <c r="EL18" s="140">
        <f t="shared" si="97"/>
        <v>-6.9642237617368273E-4</v>
      </c>
      <c r="EM18" s="140">
        <f t="shared" si="98"/>
        <v>-6.9642237617368273E-4</v>
      </c>
      <c r="EN18" s="140">
        <f t="shared" si="99"/>
        <v>-6.9642237617368273E-4</v>
      </c>
      <c r="EO18" s="140">
        <f t="shared" si="100"/>
        <v>-6.9642237617368273E-4</v>
      </c>
      <c r="EP18" s="140">
        <f t="shared" si="101"/>
        <v>-6.9642237617368273E-4</v>
      </c>
      <c r="EQ18" s="140">
        <f t="shared" si="102"/>
        <v>-6.9642237617368273E-4</v>
      </c>
      <c r="ER18" s="140">
        <f t="shared" si="103"/>
        <v>-6.9642237617368273E-4</v>
      </c>
      <c r="ES18" s="140">
        <f t="shared" si="104"/>
        <v>-6.9642237617368273E-4</v>
      </c>
      <c r="ET18" s="140">
        <f t="shared" si="105"/>
        <v>-6.9642237617368273E-4</v>
      </c>
      <c r="EU18" s="140">
        <f t="shared" si="106"/>
        <v>-6.9642237617368273E-4</v>
      </c>
      <c r="EV18" s="140">
        <f t="shared" si="107"/>
        <v>-6.9642237617368273E-4</v>
      </c>
      <c r="EW18" s="140">
        <f t="shared" si="108"/>
        <v>-6.9642237617368273E-4</v>
      </c>
      <c r="EX18" s="140">
        <f t="shared" si="109"/>
        <v>-6.9642237617368273E-4</v>
      </c>
      <c r="EY18" s="140">
        <f t="shared" si="110"/>
        <v>-6.9642237617368273E-4</v>
      </c>
      <c r="EZ18" s="140">
        <f t="shared" si="111"/>
        <v>-6.9642237617368273E-4</v>
      </c>
      <c r="FA18" s="140">
        <f t="shared" si="112"/>
        <v>-6.9642237617368273E-4</v>
      </c>
      <c r="FB18" s="140">
        <f t="shared" si="113"/>
        <v>-6.9642237617368273E-4</v>
      </c>
      <c r="FC18" s="140">
        <f t="shared" si="114"/>
        <v>-6.9642237617368273E-4</v>
      </c>
      <c r="FD18" s="140">
        <f t="shared" si="115"/>
        <v>-6.9642237617368273E-4</v>
      </c>
      <c r="FE18" s="140">
        <f t="shared" si="116"/>
        <v>-6.9642237617368273E-4</v>
      </c>
      <c r="FF18" s="140">
        <f t="shared" si="117"/>
        <v>-6.9642237617368273E-4</v>
      </c>
      <c r="FG18" s="140">
        <f t="shared" si="118"/>
        <v>-6.9642237617368273E-4</v>
      </c>
      <c r="FH18" s="140">
        <f t="shared" si="119"/>
        <v>-6.9642237617368273E-4</v>
      </c>
      <c r="FI18" s="140">
        <f t="shared" si="120"/>
        <v>-6.9642237617368273E-4</v>
      </c>
      <c r="FJ18" s="140">
        <f t="shared" si="121"/>
        <v>-6.9642237617368273E-4</v>
      </c>
      <c r="FK18" s="141">
        <f t="shared" si="122"/>
        <v>-6.9642237617368273E-4</v>
      </c>
      <c r="FM18" s="134">
        <f t="shared" si="63"/>
        <v>16</v>
      </c>
      <c r="FN18" s="166">
        <v>4</v>
      </c>
      <c r="FO18" s="124">
        <f>HLOOKUP(FN18,$AE$2:BW18,FM18+1,0)</f>
        <v>45252</v>
      </c>
      <c r="FP18" s="140">
        <f>HLOOKUP(FN18,$DT$2:FK18,FM18+1,0)</f>
        <v>52498919642.895264</v>
      </c>
      <c r="FQ18" s="182">
        <f t="shared" si="59"/>
        <v>53074811939.776321</v>
      </c>
      <c r="FR18" s="126">
        <f t="shared" si="60"/>
        <v>53148464145.890411</v>
      </c>
      <c r="FS18" s="183">
        <f t="shared" si="61"/>
        <v>73652206.114089966</v>
      </c>
      <c r="FT18" s="165">
        <f t="shared" si="15"/>
        <v>0</v>
      </c>
    </row>
    <row r="19" spans="1:176">
      <c r="A19" s="134" t="s">
        <v>83</v>
      </c>
      <c r="B19" s="121" t="s">
        <v>32</v>
      </c>
      <c r="C19" s="121" t="s">
        <v>32</v>
      </c>
      <c r="D19" s="3" t="s">
        <v>31</v>
      </c>
      <c r="E19" s="121">
        <v>50</v>
      </c>
      <c r="F19" s="135">
        <v>51834228650</v>
      </c>
      <c r="G19" s="135">
        <v>1000000000</v>
      </c>
      <c r="H19" s="135">
        <f t="shared" si="80"/>
        <v>50000000000</v>
      </c>
      <c r="I19" s="136">
        <v>0.1075</v>
      </c>
      <c r="J19" s="136"/>
      <c r="K19" s="124">
        <v>45086</v>
      </c>
      <c r="L19" s="124">
        <v>45635</v>
      </c>
      <c r="M19" s="69" t="s">
        <v>161</v>
      </c>
      <c r="N19" s="254">
        <v>45217</v>
      </c>
      <c r="O19" s="254">
        <v>45217</v>
      </c>
      <c r="P19" s="137">
        <f>SUMIFS('Mua bán - filtered'!N:N,'Mua bán - filtered'!A:A,B19)</f>
        <v>1104452054.7945206</v>
      </c>
      <c r="R19" s="241" t="s">
        <v>158</v>
      </c>
      <c r="T19" s="151">
        <f t="shared" si="5"/>
        <v>45086</v>
      </c>
      <c r="U19" s="124">
        <f t="shared" si="6"/>
        <v>45635</v>
      </c>
      <c r="V19" s="128">
        <f t="shared" si="66"/>
        <v>0.1075</v>
      </c>
      <c r="W19" s="121" t="s">
        <v>155</v>
      </c>
      <c r="X19" s="121" t="str">
        <f t="shared" si="7"/>
        <v>Cuối kỳ</v>
      </c>
      <c r="Y19" s="121" cm="1">
        <f t="array" ref="Y19">_xlfn.IFS(X19="Quý",3,LEFT(X19,1)="6",6,X19="Năm",12,X19="Cuối kỳ",1)</f>
        <v>1</v>
      </c>
      <c r="Z19" s="124">
        <f t="shared" si="67"/>
        <v>45217</v>
      </c>
      <c r="AA19" s="174">
        <f>SUMIFS('Mua bán - filtered'!N:N,'Mua bán - filtered'!A:A,'Amortised cost 31.12.2023'!B19)</f>
        <v>1104452054.7945206</v>
      </c>
      <c r="AB19" s="152">
        <f t="shared" si="123"/>
        <v>1</v>
      </c>
      <c r="AC19" s="126">
        <f t="shared" si="9"/>
        <v>0</v>
      </c>
      <c r="AD19" s="126"/>
      <c r="AE19" s="151">
        <v>45086</v>
      </c>
      <c r="AF19" s="124">
        <v>45194</v>
      </c>
      <c r="AG19" s="124">
        <v>45217</v>
      </c>
      <c r="AH19" s="242">
        <v>45376</v>
      </c>
      <c r="AI19" s="124"/>
      <c r="AJ19" s="124"/>
      <c r="AK19" s="124"/>
      <c r="AL19" s="124"/>
      <c r="AM19" s="124"/>
      <c r="AN19" s="124"/>
      <c r="AO19" s="124"/>
      <c r="AP19" s="124"/>
      <c r="AQ19" s="124"/>
      <c r="AR19" s="124"/>
      <c r="AS19" s="124"/>
      <c r="AT19" s="124"/>
      <c r="AU19" s="124"/>
      <c r="AV19" s="124"/>
      <c r="AW19" s="124"/>
      <c r="AX19" s="124"/>
      <c r="AY19" s="124"/>
      <c r="AZ19" s="124"/>
      <c r="BA19" s="124"/>
      <c r="BB19" s="124"/>
      <c r="BC19" s="124"/>
      <c r="BW19" s="137">
        <f t="shared" si="75"/>
        <v>-259</v>
      </c>
      <c r="BX19" s="241"/>
      <c r="BY19" s="112">
        <v>-50000000000</v>
      </c>
      <c r="BZ19" s="106">
        <v>51590410950</v>
      </c>
      <c r="CA19" s="112">
        <v>-51834228650</v>
      </c>
      <c r="CB19" s="243">
        <v>54270547950</v>
      </c>
      <c r="DD19" s="152"/>
      <c r="DQ19" s="128">
        <f t="shared" si="11"/>
        <v>3.872369527816763E-3</v>
      </c>
      <c r="DR19" s="248">
        <f t="shared" si="12"/>
        <v>0.11137236952781676</v>
      </c>
      <c r="DS19" s="250"/>
      <c r="DT19" s="160">
        <f t="shared" si="13"/>
        <v>50000000000</v>
      </c>
      <c r="DU19" s="135">
        <f t="shared" si="76"/>
        <v>-3512357.5763778687</v>
      </c>
      <c r="DV19" s="135">
        <f t="shared" si="81"/>
        <v>51830692843.371391</v>
      </c>
      <c r="DW19" s="135">
        <f t="shared" si="82"/>
        <v>168.84435272216797</v>
      </c>
      <c r="DX19" s="135">
        <f t="shared" si="83"/>
        <v>3.3598675816871285E-4</v>
      </c>
      <c r="DY19" s="135">
        <f t="shared" si="84"/>
        <v>3.3598675816871285E-4</v>
      </c>
      <c r="DZ19" s="135">
        <f t="shared" si="85"/>
        <v>3.3598675816871285E-4</v>
      </c>
      <c r="EA19" s="135">
        <f t="shared" si="86"/>
        <v>3.3598675816871285E-4</v>
      </c>
      <c r="EB19" s="135">
        <f t="shared" si="87"/>
        <v>3.3598675816871285E-4</v>
      </c>
      <c r="EC19" s="135">
        <f t="shared" si="88"/>
        <v>3.3598675816871285E-4</v>
      </c>
      <c r="ED19" s="135">
        <f t="shared" si="89"/>
        <v>3.3598675816871285E-4</v>
      </c>
      <c r="EE19" s="135">
        <f t="shared" si="90"/>
        <v>3.3598675816871285E-4</v>
      </c>
      <c r="EF19" s="135">
        <f t="shared" si="91"/>
        <v>3.3598675816871285E-4</v>
      </c>
      <c r="EG19" s="135">
        <f t="shared" si="92"/>
        <v>3.3598675816871285E-4</v>
      </c>
      <c r="EH19" s="135">
        <f t="shared" si="93"/>
        <v>3.3598675816871285E-4</v>
      </c>
      <c r="EI19" s="135">
        <f t="shared" si="94"/>
        <v>3.3598675816871285E-4</v>
      </c>
      <c r="EJ19" s="135">
        <f t="shared" si="95"/>
        <v>3.3598675816871285E-4</v>
      </c>
      <c r="EK19" s="135">
        <f t="shared" si="96"/>
        <v>3.3598675816871285E-4</v>
      </c>
      <c r="EL19" s="135">
        <f t="shared" si="97"/>
        <v>3.3598675816871285E-4</v>
      </c>
      <c r="EM19" s="135">
        <f t="shared" si="98"/>
        <v>3.3598675816871285E-4</v>
      </c>
      <c r="EN19" s="135">
        <f t="shared" si="99"/>
        <v>3.3598675816871285E-4</v>
      </c>
      <c r="EO19" s="135">
        <f t="shared" si="100"/>
        <v>3.3598675816871285E-4</v>
      </c>
      <c r="EP19" s="135">
        <f t="shared" si="101"/>
        <v>3.3598675816871285E-4</v>
      </c>
      <c r="EQ19" s="135">
        <f t="shared" si="102"/>
        <v>3.3598675816871285E-4</v>
      </c>
      <c r="ER19" s="135">
        <f t="shared" si="103"/>
        <v>3.3598675816871285E-4</v>
      </c>
      <c r="ES19" s="135">
        <f t="shared" si="104"/>
        <v>3.3598675816871285E-4</v>
      </c>
      <c r="ET19" s="135">
        <f t="shared" si="105"/>
        <v>3.3598675816871285E-4</v>
      </c>
      <c r="EU19" s="135">
        <f t="shared" si="106"/>
        <v>3.3598675816871285E-4</v>
      </c>
      <c r="EV19" s="135">
        <f t="shared" si="107"/>
        <v>3.3598675816871285E-4</v>
      </c>
      <c r="EW19" s="135">
        <f t="shared" si="108"/>
        <v>3.3598675816871285E-4</v>
      </c>
      <c r="EX19" s="135">
        <f t="shared" si="109"/>
        <v>3.3598675816871285E-4</v>
      </c>
      <c r="EY19" s="135">
        <f t="shared" si="110"/>
        <v>3.3598675816871285E-4</v>
      </c>
      <c r="EZ19" s="135">
        <f t="shared" si="111"/>
        <v>3.3598675816871285E-4</v>
      </c>
      <c r="FA19" s="135">
        <f t="shared" si="112"/>
        <v>3.3598675816871285E-4</v>
      </c>
      <c r="FB19" s="135">
        <f t="shared" si="113"/>
        <v>3.3598675816871285E-4</v>
      </c>
      <c r="FC19" s="135">
        <f t="shared" si="114"/>
        <v>3.3598675816871285E-4</v>
      </c>
      <c r="FD19" s="135">
        <f t="shared" si="115"/>
        <v>3.3598675816871285E-4</v>
      </c>
      <c r="FE19" s="135">
        <f t="shared" si="116"/>
        <v>3.3598675816871285E-4</v>
      </c>
      <c r="FF19" s="135">
        <f t="shared" si="117"/>
        <v>3.3598675816871285E-4</v>
      </c>
      <c r="FG19" s="135">
        <f t="shared" si="118"/>
        <v>3.3598675816871285E-4</v>
      </c>
      <c r="FH19" s="135">
        <f t="shared" si="119"/>
        <v>3.3598675816871285E-4</v>
      </c>
      <c r="FI19" s="135">
        <f t="shared" si="120"/>
        <v>3.3598675816871285E-4</v>
      </c>
      <c r="FJ19" s="135">
        <f t="shared" si="121"/>
        <v>3.3598675816871285E-4</v>
      </c>
      <c r="FK19" s="137">
        <f t="shared" si="122"/>
        <v>3.3598675816871285E-4</v>
      </c>
      <c r="FM19" s="134">
        <f t="shared" si="63"/>
        <v>17</v>
      </c>
      <c r="FN19" s="164">
        <v>2</v>
      </c>
      <c r="FO19" s="124">
        <f>HLOOKUP(FN19,$AE$2:BW19,FM19+1,0)</f>
        <v>45217</v>
      </c>
      <c r="FP19" s="135">
        <f>HLOOKUP(FN19,$DT$2:FK19,FM19+1,0)</f>
        <v>51830692843.371391</v>
      </c>
      <c r="FQ19" s="180">
        <f t="shared" si="59"/>
        <v>52914811205.100159</v>
      </c>
      <c r="FR19" s="126">
        <f t="shared" si="60"/>
        <v>52938680704.794518</v>
      </c>
      <c r="FS19" s="181">
        <f t="shared" si="61"/>
        <v>23869499.694358826</v>
      </c>
      <c r="FT19" s="165">
        <f t="shared" si="15"/>
        <v>0</v>
      </c>
    </row>
    <row r="20" spans="1:176">
      <c r="A20" s="134" t="s">
        <v>83</v>
      </c>
      <c r="B20" s="121" t="s">
        <v>33</v>
      </c>
      <c r="C20" s="121" t="s">
        <v>33</v>
      </c>
      <c r="D20" s="3" t="s">
        <v>31</v>
      </c>
      <c r="E20" s="121">
        <v>50</v>
      </c>
      <c r="F20" s="135">
        <v>51708773650</v>
      </c>
      <c r="G20" s="135">
        <v>1000000000</v>
      </c>
      <c r="H20" s="135">
        <f t="shared" si="80"/>
        <v>50000000000</v>
      </c>
      <c r="I20" s="142">
        <v>0.1075</v>
      </c>
      <c r="J20" s="142"/>
      <c r="K20" s="124">
        <v>45093</v>
      </c>
      <c r="L20" s="124">
        <v>45642</v>
      </c>
      <c r="M20" s="69" t="s">
        <v>161</v>
      </c>
      <c r="N20" s="254">
        <v>45240</v>
      </c>
      <c r="O20" s="254">
        <f t="shared" ref="O20:O29" si="125">MAX(N20,K20)</f>
        <v>45240</v>
      </c>
      <c r="P20" s="137">
        <f>SUMIFS('Mua bán - filtered'!N:N,'Mua bán - filtered'!A:A,B20)</f>
        <v>765753424.65753424</v>
      </c>
      <c r="T20" s="151">
        <f t="shared" si="5"/>
        <v>45093</v>
      </c>
      <c r="U20" s="124">
        <f t="shared" si="6"/>
        <v>45642</v>
      </c>
      <c r="V20" s="128">
        <f t="shared" si="66"/>
        <v>0.1075</v>
      </c>
      <c r="W20" s="121" t="s">
        <v>155</v>
      </c>
      <c r="X20" s="121" t="str">
        <f t="shared" si="7"/>
        <v>Cuối kỳ</v>
      </c>
      <c r="Y20" s="121" cm="1">
        <f t="array" ref="Y20">_xlfn.IFS(X20="Quý",3,LEFT(X20,1)="6",6,X20="Năm",12,X20="Cuối kỳ",1)</f>
        <v>1</v>
      </c>
      <c r="Z20" s="124">
        <f t="shared" si="67"/>
        <v>45240</v>
      </c>
      <c r="AA20" s="174">
        <f>SUMIFS('Mua bán - filtered'!N:N,'Mua bán - filtered'!A:A,'Amortised cost 31.12.2023'!B20)</f>
        <v>765753424.65753424</v>
      </c>
      <c r="AB20" s="152">
        <f t="shared" si="123"/>
        <v>1</v>
      </c>
      <c r="AC20" s="126">
        <f t="shared" si="9"/>
        <v>0</v>
      </c>
      <c r="AD20" s="126"/>
      <c r="AE20" s="151">
        <v>45093</v>
      </c>
      <c r="AF20" s="124">
        <v>45096</v>
      </c>
      <c r="AG20" s="124">
        <v>45103</v>
      </c>
      <c r="AH20" s="242">
        <v>45240</v>
      </c>
      <c r="AI20" s="124">
        <v>45642</v>
      </c>
      <c r="AJ20" s="124"/>
      <c r="AK20" s="124"/>
      <c r="AL20" s="124"/>
      <c r="AM20" s="124"/>
      <c r="AN20" s="124"/>
      <c r="AO20" s="124"/>
      <c r="AP20" s="124"/>
      <c r="AQ20" s="124"/>
      <c r="AR20" s="124"/>
      <c r="AS20" s="124"/>
      <c r="AT20" s="124"/>
      <c r="AU20" s="124"/>
      <c r="AV20" s="124"/>
      <c r="AW20" s="124"/>
      <c r="AX20" s="124"/>
      <c r="AY20" s="124"/>
      <c r="AZ20" s="124"/>
      <c r="BA20" s="124"/>
      <c r="BB20" s="124"/>
      <c r="BC20" s="124"/>
      <c r="BW20" s="137">
        <f t="shared" si="75"/>
        <v>0</v>
      </c>
      <c r="BY20" s="170">
        <v>-30000000000</v>
      </c>
      <c r="BZ20" s="170">
        <v>5004417810</v>
      </c>
      <c r="CA20" s="170">
        <v>25073630125</v>
      </c>
      <c r="CB20" s="131">
        <v>-51708773650</v>
      </c>
      <c r="CC20" s="140">
        <f>H20+H20*(L20-K20)*I20/365</f>
        <v>58084589041.095886</v>
      </c>
      <c r="DD20" s="152"/>
      <c r="DQ20" s="128">
        <f t="shared" si="11"/>
        <v>3.8711297512054182E-3</v>
      </c>
      <c r="DR20" s="248">
        <f t="shared" si="12"/>
        <v>0.11137112975120542</v>
      </c>
      <c r="DS20" s="250"/>
      <c r="DT20" s="160">
        <f t="shared" si="13"/>
        <v>30000000000</v>
      </c>
      <c r="DU20" s="135">
        <f t="shared" si="76"/>
        <v>25021630493.273418</v>
      </c>
      <c r="DV20" s="135">
        <f t="shared" si="81"/>
        <v>-1276983.5029983521</v>
      </c>
      <c r="DW20" s="135">
        <f t="shared" si="82"/>
        <v>51707445038.037155</v>
      </c>
      <c r="DX20" s="135">
        <f t="shared" si="83"/>
        <v>87.646018981933594</v>
      </c>
      <c r="DY20" s="135">
        <f t="shared" si="84"/>
        <v>1.6151298090366143E-4</v>
      </c>
      <c r="DZ20" s="135">
        <f t="shared" si="85"/>
        <v>1.6151298090366143E-4</v>
      </c>
      <c r="EA20" s="135">
        <f t="shared" si="86"/>
        <v>1.6151298090366143E-4</v>
      </c>
      <c r="EB20" s="135">
        <f t="shared" si="87"/>
        <v>1.6151298090366143E-4</v>
      </c>
      <c r="EC20" s="135">
        <f t="shared" si="88"/>
        <v>1.6151298090366143E-4</v>
      </c>
      <c r="ED20" s="135">
        <f t="shared" si="89"/>
        <v>1.6151298090366143E-4</v>
      </c>
      <c r="EE20" s="135">
        <f t="shared" si="90"/>
        <v>1.6151298090366143E-4</v>
      </c>
      <c r="EF20" s="135">
        <f t="shared" si="91"/>
        <v>1.6151298090366143E-4</v>
      </c>
      <c r="EG20" s="135">
        <f t="shared" si="92"/>
        <v>1.6151298090366143E-4</v>
      </c>
      <c r="EH20" s="135">
        <f t="shared" si="93"/>
        <v>1.6151298090366143E-4</v>
      </c>
      <c r="EI20" s="135">
        <f t="shared" si="94"/>
        <v>1.6151298090366143E-4</v>
      </c>
      <c r="EJ20" s="135">
        <f t="shared" si="95"/>
        <v>1.6151298090366143E-4</v>
      </c>
      <c r="EK20" s="135">
        <f t="shared" si="96"/>
        <v>1.6151298090366143E-4</v>
      </c>
      <c r="EL20" s="135">
        <f t="shared" si="97"/>
        <v>1.6151298090366143E-4</v>
      </c>
      <c r="EM20" s="135">
        <f t="shared" si="98"/>
        <v>1.6151298090366143E-4</v>
      </c>
      <c r="EN20" s="135">
        <f t="shared" si="99"/>
        <v>1.6151298090366143E-4</v>
      </c>
      <c r="EO20" s="135">
        <f t="shared" si="100"/>
        <v>1.6151298090366143E-4</v>
      </c>
      <c r="EP20" s="135">
        <f t="shared" si="101"/>
        <v>1.6151298090366143E-4</v>
      </c>
      <c r="EQ20" s="135">
        <f t="shared" si="102"/>
        <v>1.6151298090366143E-4</v>
      </c>
      <c r="ER20" s="135">
        <f t="shared" si="103"/>
        <v>1.6151298090366143E-4</v>
      </c>
      <c r="ES20" s="135">
        <f t="shared" si="104"/>
        <v>1.6151298090366143E-4</v>
      </c>
      <c r="ET20" s="135">
        <f t="shared" si="105"/>
        <v>1.6151298090366143E-4</v>
      </c>
      <c r="EU20" s="135">
        <f t="shared" si="106"/>
        <v>1.6151298090366143E-4</v>
      </c>
      <c r="EV20" s="135">
        <f t="shared" si="107"/>
        <v>1.6151298090366143E-4</v>
      </c>
      <c r="EW20" s="135">
        <f t="shared" si="108"/>
        <v>1.6151298090366143E-4</v>
      </c>
      <c r="EX20" s="135">
        <f t="shared" si="109"/>
        <v>1.6151298090366143E-4</v>
      </c>
      <c r="EY20" s="135">
        <f t="shared" si="110"/>
        <v>1.6151298090366143E-4</v>
      </c>
      <c r="EZ20" s="135">
        <f t="shared" si="111"/>
        <v>1.6151298090366143E-4</v>
      </c>
      <c r="FA20" s="135">
        <f t="shared" si="112"/>
        <v>1.6151298090366143E-4</v>
      </c>
      <c r="FB20" s="135">
        <f t="shared" si="113"/>
        <v>1.6151298090366143E-4</v>
      </c>
      <c r="FC20" s="135">
        <f t="shared" si="114"/>
        <v>1.6151298090366143E-4</v>
      </c>
      <c r="FD20" s="135">
        <f t="shared" si="115"/>
        <v>1.6151298090366143E-4</v>
      </c>
      <c r="FE20" s="135">
        <f t="shared" si="116"/>
        <v>1.6151298090366143E-4</v>
      </c>
      <c r="FF20" s="135">
        <f t="shared" si="117"/>
        <v>1.6151298090366143E-4</v>
      </c>
      <c r="FG20" s="135">
        <f t="shared" si="118"/>
        <v>1.6151298090366143E-4</v>
      </c>
      <c r="FH20" s="135">
        <f t="shared" si="119"/>
        <v>1.6151298090366143E-4</v>
      </c>
      <c r="FI20" s="135">
        <f t="shared" si="120"/>
        <v>1.6151298090366143E-4</v>
      </c>
      <c r="FJ20" s="135">
        <f t="shared" si="121"/>
        <v>1.6151298090366143E-4</v>
      </c>
      <c r="FK20" s="137">
        <f t="shared" si="122"/>
        <v>1.6151298090366143E-4</v>
      </c>
      <c r="FM20" s="134">
        <f t="shared" si="63"/>
        <v>18</v>
      </c>
      <c r="FN20" s="164">
        <v>3</v>
      </c>
      <c r="FO20" s="124">
        <f>HLOOKUP(FN20,$AE$2:BW20,FM20+1,0)</f>
        <v>45240</v>
      </c>
      <c r="FP20" s="135">
        <f>HLOOKUP(FN20,$DT$2:FK20,FM20+1,0)</f>
        <v>51707445038.037155</v>
      </c>
      <c r="FQ20" s="180">
        <f t="shared" si="59"/>
        <v>52450429991.380066</v>
      </c>
      <c r="FR20" s="126">
        <f t="shared" si="60"/>
        <v>52474527074.657532</v>
      </c>
      <c r="FS20" s="181">
        <f t="shared" si="61"/>
        <v>24097083.27746582</v>
      </c>
      <c r="FT20" s="165">
        <f t="shared" si="15"/>
        <v>0</v>
      </c>
    </row>
    <row r="21" spans="1:176">
      <c r="A21" s="134" t="s">
        <v>83</v>
      </c>
      <c r="B21" s="121" t="s">
        <v>34</v>
      </c>
      <c r="C21" s="121" t="s">
        <v>34</v>
      </c>
      <c r="D21" s="3" t="s">
        <v>31</v>
      </c>
      <c r="E21" s="121">
        <v>500</v>
      </c>
      <c r="F21" s="135">
        <v>50000000000</v>
      </c>
      <c r="G21" s="135">
        <v>100000000</v>
      </c>
      <c r="H21" s="135">
        <f t="shared" si="80"/>
        <v>50000000000</v>
      </c>
      <c r="I21" s="136">
        <v>0.10100000000000001</v>
      </c>
      <c r="J21" s="136"/>
      <c r="K21" s="124">
        <v>45114</v>
      </c>
      <c r="L21" s="124">
        <v>45481</v>
      </c>
      <c r="M21" s="69" t="s">
        <v>161</v>
      </c>
      <c r="N21" s="124">
        <v>45114</v>
      </c>
      <c r="O21" s="124">
        <f t="shared" si="125"/>
        <v>45114</v>
      </c>
      <c r="P21" s="137">
        <f>SUMIFS('Mua bán - filtered'!N:N,'Mua bán - filtered'!A:A,B21)</f>
        <v>2462739726.0273972</v>
      </c>
      <c r="T21" s="151">
        <f t="shared" si="5"/>
        <v>45114</v>
      </c>
      <c r="U21" s="124">
        <f t="shared" si="6"/>
        <v>45481</v>
      </c>
      <c r="V21" s="128">
        <f t="shared" si="66"/>
        <v>0.10100000000000001</v>
      </c>
      <c r="W21" s="121" t="s">
        <v>155</v>
      </c>
      <c r="X21" s="121" t="str">
        <f t="shared" si="7"/>
        <v>Cuối kỳ</v>
      </c>
      <c r="Y21" s="121" cm="1">
        <f t="array" ref="Y21">_xlfn.IFS(X21="Quý",3,LEFT(X21,1)="6",6,X21="Năm",12,X21="Cuối kỳ",1)</f>
        <v>1</v>
      </c>
      <c r="Z21" s="124">
        <f t="shared" si="67"/>
        <v>45114</v>
      </c>
      <c r="AA21" s="174">
        <f>SUMIFS('Mua bán - filtered'!N:N,'Mua bán - filtered'!A:A,'Amortised cost 31.12.2023'!B21)</f>
        <v>2462739726.0273972</v>
      </c>
      <c r="AB21" s="152">
        <f t="shared" si="123"/>
        <v>1</v>
      </c>
      <c r="AC21" s="126">
        <f t="shared" si="9"/>
        <v>0</v>
      </c>
      <c r="AD21" s="126"/>
      <c r="AE21" s="151">
        <v>45114</v>
      </c>
      <c r="AF21" s="124">
        <v>45481</v>
      </c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124"/>
      <c r="BW21" s="137">
        <f t="shared" si="75"/>
        <v>0</v>
      </c>
      <c r="BY21" s="160">
        <v>-50000000000</v>
      </c>
      <c r="BZ21" s="126">
        <f>H21+H21*V21*(L21-K21)/365</f>
        <v>55077671232.876709</v>
      </c>
      <c r="DD21" s="152"/>
      <c r="DQ21" s="128">
        <f t="shared" si="11"/>
        <v>-2.7043581008912021E-5</v>
      </c>
      <c r="DR21" s="248">
        <f t="shared" si="12"/>
        <v>0.10097295641899109</v>
      </c>
      <c r="DS21" s="250"/>
      <c r="DT21" s="160">
        <f t="shared" si="13"/>
        <v>50000000000</v>
      </c>
      <c r="DU21" s="135">
        <f t="shared" si="76"/>
        <v>-60.31707763671875</v>
      </c>
      <c r="DV21" s="135">
        <f t="shared" si="81"/>
        <v>-3.7569950002666163E-4</v>
      </c>
      <c r="DW21" s="135">
        <f t="shared" si="82"/>
        <v>-3.7569950002666163E-4</v>
      </c>
      <c r="DX21" s="135">
        <f t="shared" si="83"/>
        <v>-3.7569950002666163E-4</v>
      </c>
      <c r="DY21" s="135">
        <f t="shared" si="84"/>
        <v>-3.7569950002666163E-4</v>
      </c>
      <c r="DZ21" s="135">
        <f t="shared" si="85"/>
        <v>-3.7569950002666163E-4</v>
      </c>
      <c r="EA21" s="135">
        <f t="shared" si="86"/>
        <v>-3.7569950002666163E-4</v>
      </c>
      <c r="EB21" s="135">
        <f t="shared" si="87"/>
        <v>-3.7569950002666163E-4</v>
      </c>
      <c r="EC21" s="135">
        <f t="shared" si="88"/>
        <v>-3.7569950002666163E-4</v>
      </c>
      <c r="ED21" s="135">
        <f t="shared" si="89"/>
        <v>-3.7569950002666163E-4</v>
      </c>
      <c r="EE21" s="135">
        <f t="shared" si="90"/>
        <v>-3.7569950002666163E-4</v>
      </c>
      <c r="EF21" s="135">
        <f t="shared" si="91"/>
        <v>-3.7569950002666163E-4</v>
      </c>
      <c r="EG21" s="135">
        <f t="shared" si="92"/>
        <v>-3.7569950002666163E-4</v>
      </c>
      <c r="EH21" s="135">
        <f t="shared" si="93"/>
        <v>-3.7569950002666163E-4</v>
      </c>
      <c r="EI21" s="135">
        <f t="shared" si="94"/>
        <v>-3.7569950002666163E-4</v>
      </c>
      <c r="EJ21" s="135">
        <f t="shared" si="95"/>
        <v>-3.7569950002666163E-4</v>
      </c>
      <c r="EK21" s="135">
        <f t="shared" si="96"/>
        <v>-3.7569950002666163E-4</v>
      </c>
      <c r="EL21" s="135">
        <f t="shared" si="97"/>
        <v>-3.7569950002666163E-4</v>
      </c>
      <c r="EM21" s="135">
        <f t="shared" si="98"/>
        <v>-3.7569950002666163E-4</v>
      </c>
      <c r="EN21" s="135">
        <f t="shared" si="99"/>
        <v>-3.7569950002666163E-4</v>
      </c>
      <c r="EO21" s="135">
        <f t="shared" si="100"/>
        <v>-3.7569950002666163E-4</v>
      </c>
      <c r="EP21" s="135">
        <f t="shared" si="101"/>
        <v>-3.7569950002666163E-4</v>
      </c>
      <c r="EQ21" s="135">
        <f t="shared" si="102"/>
        <v>-3.7569950002666163E-4</v>
      </c>
      <c r="ER21" s="135">
        <f t="shared" si="103"/>
        <v>-3.7569950002666163E-4</v>
      </c>
      <c r="ES21" s="135">
        <f t="shared" si="104"/>
        <v>-3.7569950002666163E-4</v>
      </c>
      <c r="ET21" s="135">
        <f t="shared" si="105"/>
        <v>-3.7569950002666163E-4</v>
      </c>
      <c r="EU21" s="135">
        <f t="shared" si="106"/>
        <v>-3.7569950002666163E-4</v>
      </c>
      <c r="EV21" s="135">
        <f t="shared" si="107"/>
        <v>-3.7569950002666163E-4</v>
      </c>
      <c r="EW21" s="135">
        <f t="shared" si="108"/>
        <v>-3.7569950002666163E-4</v>
      </c>
      <c r="EX21" s="135">
        <f t="shared" si="109"/>
        <v>-3.7569950002666163E-4</v>
      </c>
      <c r="EY21" s="135">
        <f t="shared" si="110"/>
        <v>-3.7569950002666163E-4</v>
      </c>
      <c r="EZ21" s="135">
        <f t="shared" si="111"/>
        <v>-3.7569950002666163E-4</v>
      </c>
      <c r="FA21" s="135">
        <f t="shared" si="112"/>
        <v>-3.7569950002666163E-4</v>
      </c>
      <c r="FB21" s="135">
        <f t="shared" si="113"/>
        <v>-3.7569950002666163E-4</v>
      </c>
      <c r="FC21" s="135">
        <f t="shared" si="114"/>
        <v>-3.7569950002666163E-4</v>
      </c>
      <c r="FD21" s="135">
        <f t="shared" si="115"/>
        <v>-3.7569950002666163E-4</v>
      </c>
      <c r="FE21" s="135">
        <f t="shared" si="116"/>
        <v>-3.7569950002666163E-4</v>
      </c>
      <c r="FF21" s="135">
        <f t="shared" si="117"/>
        <v>-3.7569950002666163E-4</v>
      </c>
      <c r="FG21" s="135">
        <f t="shared" si="118"/>
        <v>-3.7569950002666163E-4</v>
      </c>
      <c r="FH21" s="135">
        <f t="shared" si="119"/>
        <v>-3.7569950002666163E-4</v>
      </c>
      <c r="FI21" s="135">
        <f t="shared" si="120"/>
        <v>-3.7569950002666163E-4</v>
      </c>
      <c r="FJ21" s="135">
        <f t="shared" si="121"/>
        <v>-3.7569950002666163E-4</v>
      </c>
      <c r="FK21" s="137">
        <f t="shared" si="122"/>
        <v>-3.7569950002666163E-4</v>
      </c>
      <c r="FM21" s="134">
        <f t="shared" si="63"/>
        <v>19</v>
      </c>
      <c r="FN21" s="164">
        <v>0</v>
      </c>
      <c r="FO21" s="124">
        <f>HLOOKUP(FN21,$AE$2:BW21,FM21+1,0)</f>
        <v>45114</v>
      </c>
      <c r="FP21" s="135">
        <f>HLOOKUP(FN21,$DT$2:FK21,FM21+1,0)</f>
        <v>50000000000</v>
      </c>
      <c r="FQ21" s="180">
        <f t="shared" si="59"/>
        <v>52388262130.951591</v>
      </c>
      <c r="FR21" s="126">
        <f t="shared" si="60"/>
        <v>52462739726.027397</v>
      </c>
      <c r="FS21" s="181">
        <f t="shared" si="61"/>
        <v>74477595.075805664</v>
      </c>
      <c r="FT21" s="165">
        <f t="shared" si="15"/>
        <v>0</v>
      </c>
    </row>
    <row r="22" spans="1:176">
      <c r="A22" s="134" t="s">
        <v>83</v>
      </c>
      <c r="B22" s="121" t="s">
        <v>35</v>
      </c>
      <c r="C22" s="121" t="s">
        <v>35</v>
      </c>
      <c r="D22" s="3" t="s">
        <v>31</v>
      </c>
      <c r="E22" s="121">
        <v>500</v>
      </c>
      <c r="F22" s="135">
        <v>50000000000</v>
      </c>
      <c r="G22" s="135">
        <v>100000000</v>
      </c>
      <c r="H22" s="135">
        <f t="shared" si="80"/>
        <v>50000000000</v>
      </c>
      <c r="I22" s="136">
        <v>0.10100000000000001</v>
      </c>
      <c r="J22" s="136"/>
      <c r="K22" s="124">
        <v>45120</v>
      </c>
      <c r="L22" s="124">
        <v>45488</v>
      </c>
      <c r="M22" s="69" t="s">
        <v>161</v>
      </c>
      <c r="N22" s="124">
        <v>45120</v>
      </c>
      <c r="O22" s="124">
        <f t="shared" si="125"/>
        <v>45120</v>
      </c>
      <c r="P22" s="137">
        <f>SUMIFS('Mua bán - filtered'!N:N,'Mua bán - filtered'!A:A,B22)</f>
        <v>2379726027.3972602</v>
      </c>
      <c r="T22" s="151">
        <f t="shared" si="5"/>
        <v>45120</v>
      </c>
      <c r="U22" s="124">
        <f t="shared" si="6"/>
        <v>45488</v>
      </c>
      <c r="V22" s="128">
        <f t="shared" si="66"/>
        <v>0.10100000000000001</v>
      </c>
      <c r="W22" s="121" t="s">
        <v>155</v>
      </c>
      <c r="X22" s="121" t="str">
        <f t="shared" si="7"/>
        <v>Cuối kỳ</v>
      </c>
      <c r="Y22" s="121" cm="1">
        <f t="array" ref="Y22">_xlfn.IFS(X22="Quý",3,LEFT(X22,1)="6",6,X22="Năm",12,X22="Cuối kỳ",1)</f>
        <v>1</v>
      </c>
      <c r="Z22" s="124">
        <f t="shared" si="67"/>
        <v>45120</v>
      </c>
      <c r="AA22" s="174">
        <f>SUMIFS('Mua bán - filtered'!N:N,'Mua bán - filtered'!A:A,'Amortised cost 31.12.2023'!B22)</f>
        <v>2379726027.3972602</v>
      </c>
      <c r="AB22" s="152">
        <f t="shared" si="123"/>
        <v>1</v>
      </c>
      <c r="AC22" s="126">
        <f t="shared" si="9"/>
        <v>0</v>
      </c>
      <c r="AD22" s="126"/>
      <c r="AE22" s="151">
        <v>45120</v>
      </c>
      <c r="AF22" s="124">
        <v>45488</v>
      </c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4"/>
      <c r="BC22" s="124"/>
      <c r="BW22" s="137">
        <f t="shared" si="75"/>
        <v>0</v>
      </c>
      <c r="BY22" s="160">
        <v>-50000000000</v>
      </c>
      <c r="BZ22" s="126">
        <f>H22+H22*V22*(L22-K22)/365</f>
        <v>55091506849.315071</v>
      </c>
      <c r="DD22" s="152"/>
      <c r="DQ22" s="128">
        <f t="shared" si="11"/>
        <v>-4.0561914443959513E-5</v>
      </c>
      <c r="DR22" s="248">
        <f t="shared" si="12"/>
        <v>0.10095943808555605</v>
      </c>
      <c r="DS22" s="250"/>
      <c r="DT22" s="160">
        <f t="shared" si="13"/>
        <v>50000000000</v>
      </c>
      <c r="DU22" s="135">
        <f t="shared" si="76"/>
        <v>-274.32863616943359</v>
      </c>
      <c r="DV22" s="135">
        <f t="shared" si="81"/>
        <v>-1.7081847433432955E-3</v>
      </c>
      <c r="DW22" s="135">
        <f t="shared" si="82"/>
        <v>-1.7081847433432955E-3</v>
      </c>
      <c r="DX22" s="135">
        <f t="shared" si="83"/>
        <v>-1.7081847433432955E-3</v>
      </c>
      <c r="DY22" s="135">
        <f t="shared" si="84"/>
        <v>-1.7081847433432955E-3</v>
      </c>
      <c r="DZ22" s="135">
        <f t="shared" si="85"/>
        <v>-1.7081847433432955E-3</v>
      </c>
      <c r="EA22" s="135">
        <f t="shared" si="86"/>
        <v>-1.7081847433432955E-3</v>
      </c>
      <c r="EB22" s="135">
        <f t="shared" si="87"/>
        <v>-1.7081847433432955E-3</v>
      </c>
      <c r="EC22" s="135">
        <f t="shared" si="88"/>
        <v>-1.7081847433432955E-3</v>
      </c>
      <c r="ED22" s="135">
        <f t="shared" si="89"/>
        <v>-1.7081847433432955E-3</v>
      </c>
      <c r="EE22" s="135">
        <f t="shared" si="90"/>
        <v>-1.7081847433432955E-3</v>
      </c>
      <c r="EF22" s="135">
        <f t="shared" si="91"/>
        <v>-1.7081847433432955E-3</v>
      </c>
      <c r="EG22" s="135">
        <f t="shared" si="92"/>
        <v>-1.7081847433432955E-3</v>
      </c>
      <c r="EH22" s="135">
        <f t="shared" si="93"/>
        <v>-1.7081847433432955E-3</v>
      </c>
      <c r="EI22" s="135">
        <f t="shared" si="94"/>
        <v>-1.7081847433432955E-3</v>
      </c>
      <c r="EJ22" s="135">
        <f t="shared" si="95"/>
        <v>-1.7081847433432955E-3</v>
      </c>
      <c r="EK22" s="135">
        <f t="shared" si="96"/>
        <v>-1.7081847433432955E-3</v>
      </c>
      <c r="EL22" s="135">
        <f t="shared" si="97"/>
        <v>-1.7081847433432955E-3</v>
      </c>
      <c r="EM22" s="135">
        <f t="shared" si="98"/>
        <v>-1.7081847433432955E-3</v>
      </c>
      <c r="EN22" s="135">
        <f t="shared" si="99"/>
        <v>-1.7081847433432955E-3</v>
      </c>
      <c r="EO22" s="135">
        <f t="shared" si="100"/>
        <v>-1.7081847433432955E-3</v>
      </c>
      <c r="EP22" s="135">
        <f t="shared" si="101"/>
        <v>-1.7081847433432955E-3</v>
      </c>
      <c r="EQ22" s="135">
        <f t="shared" si="102"/>
        <v>-1.7081847433432955E-3</v>
      </c>
      <c r="ER22" s="135">
        <f t="shared" si="103"/>
        <v>-1.7081847433432955E-3</v>
      </c>
      <c r="ES22" s="135">
        <f t="shared" si="104"/>
        <v>-1.7081847433432955E-3</v>
      </c>
      <c r="ET22" s="135">
        <f t="shared" si="105"/>
        <v>-1.7081847433432955E-3</v>
      </c>
      <c r="EU22" s="135">
        <f t="shared" si="106"/>
        <v>-1.7081847433432955E-3</v>
      </c>
      <c r="EV22" s="135">
        <f t="shared" si="107"/>
        <v>-1.7081847433432955E-3</v>
      </c>
      <c r="EW22" s="135">
        <f t="shared" si="108"/>
        <v>-1.7081847433432955E-3</v>
      </c>
      <c r="EX22" s="135">
        <f t="shared" si="109"/>
        <v>-1.7081847433432955E-3</v>
      </c>
      <c r="EY22" s="135">
        <f t="shared" si="110"/>
        <v>-1.7081847433432955E-3</v>
      </c>
      <c r="EZ22" s="135">
        <f t="shared" si="111"/>
        <v>-1.7081847433432955E-3</v>
      </c>
      <c r="FA22" s="135">
        <f t="shared" si="112"/>
        <v>-1.7081847433432955E-3</v>
      </c>
      <c r="FB22" s="135">
        <f t="shared" si="113"/>
        <v>-1.7081847433432955E-3</v>
      </c>
      <c r="FC22" s="135">
        <f t="shared" si="114"/>
        <v>-1.7081847433432955E-3</v>
      </c>
      <c r="FD22" s="135">
        <f t="shared" si="115"/>
        <v>-1.7081847433432955E-3</v>
      </c>
      <c r="FE22" s="135">
        <f t="shared" si="116"/>
        <v>-1.7081847433432955E-3</v>
      </c>
      <c r="FF22" s="135">
        <f t="shared" si="117"/>
        <v>-1.7081847433432955E-3</v>
      </c>
      <c r="FG22" s="135">
        <f t="shared" si="118"/>
        <v>-1.7081847433432955E-3</v>
      </c>
      <c r="FH22" s="135">
        <f t="shared" si="119"/>
        <v>-1.7081847433432955E-3</v>
      </c>
      <c r="FI22" s="135">
        <f t="shared" si="120"/>
        <v>-1.7081847433432955E-3</v>
      </c>
      <c r="FJ22" s="135">
        <f t="shared" si="121"/>
        <v>-1.7081847433432955E-3</v>
      </c>
      <c r="FK22" s="137">
        <f t="shared" si="122"/>
        <v>-1.7081847433432955E-3</v>
      </c>
      <c r="FM22" s="134">
        <f t="shared" si="63"/>
        <v>20</v>
      </c>
      <c r="FN22" s="164">
        <v>0</v>
      </c>
      <c r="FO22" s="124">
        <f>HLOOKUP(FN22,$AE$2:BW22,FM22+1,0)</f>
        <v>45120</v>
      </c>
      <c r="FP22" s="135">
        <f>HLOOKUP(FN22,$DT$2:FK22,FM22+1,0)</f>
        <v>50000000000</v>
      </c>
      <c r="FQ22" s="180">
        <f t="shared" si="59"/>
        <v>52305466167.805672</v>
      </c>
      <c r="FR22" s="126">
        <f t="shared" si="60"/>
        <v>52379726027.397263</v>
      </c>
      <c r="FS22" s="181">
        <f t="shared" si="61"/>
        <v>74259859.591590881</v>
      </c>
      <c r="FT22" s="165">
        <f t="shared" si="15"/>
        <v>0</v>
      </c>
    </row>
    <row r="23" spans="1:176">
      <c r="A23" s="134" t="s">
        <v>83</v>
      </c>
      <c r="B23" s="121" t="s">
        <v>36</v>
      </c>
      <c r="C23" s="121" t="s">
        <v>36</v>
      </c>
      <c r="D23" s="3" t="s">
        <v>31</v>
      </c>
      <c r="E23" s="121">
        <v>100</v>
      </c>
      <c r="F23" s="135">
        <v>100000000000</v>
      </c>
      <c r="G23" s="135">
        <v>1000000000</v>
      </c>
      <c r="H23" s="135">
        <f t="shared" si="80"/>
        <v>100000000000</v>
      </c>
      <c r="I23" s="136">
        <v>0.11</v>
      </c>
      <c r="J23" s="136"/>
      <c r="K23" s="124">
        <v>45117</v>
      </c>
      <c r="L23" s="124">
        <v>45469</v>
      </c>
      <c r="M23" s="69" t="s">
        <v>161</v>
      </c>
      <c r="N23" s="124">
        <v>45117</v>
      </c>
      <c r="O23" s="124">
        <f t="shared" si="125"/>
        <v>45117</v>
      </c>
      <c r="P23" s="137">
        <f>SUMIFS('Mua bán - filtered'!N:N,'Mua bán - filtered'!A:A,B23)</f>
        <v>5273972602.7397261</v>
      </c>
      <c r="T23" s="151">
        <f t="shared" si="5"/>
        <v>45117</v>
      </c>
      <c r="U23" s="124">
        <f t="shared" si="6"/>
        <v>45469</v>
      </c>
      <c r="V23" s="128">
        <f t="shared" si="66"/>
        <v>0.11</v>
      </c>
      <c r="W23" s="121" t="s">
        <v>155</v>
      </c>
      <c r="X23" s="121" t="str">
        <f t="shared" si="7"/>
        <v>Cuối kỳ</v>
      </c>
      <c r="Y23" s="121" cm="1">
        <f t="array" ref="Y23">_xlfn.IFS(X23="Quý",3,LEFT(X23,1)="6",6,X23="Năm",12,X23="Cuối kỳ",1)</f>
        <v>1</v>
      </c>
      <c r="Z23" s="124">
        <f t="shared" si="67"/>
        <v>45117</v>
      </c>
      <c r="AA23" s="174">
        <f>SUMIFS('Mua bán - filtered'!N:N,'Mua bán - filtered'!A:A,'Amortised cost 31.12.2023'!B23)</f>
        <v>5273972602.7397261</v>
      </c>
      <c r="AB23" s="152">
        <f t="shared" si="123"/>
        <v>1</v>
      </c>
      <c r="AC23" s="126">
        <f t="shared" si="9"/>
        <v>0</v>
      </c>
      <c r="AD23" s="126"/>
      <c r="AE23" s="236">
        <v>45117</v>
      </c>
      <c r="AF23" s="235">
        <v>45301</v>
      </c>
      <c r="AG23" s="235">
        <v>45469</v>
      </c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4"/>
      <c r="BC23" s="124"/>
      <c r="BW23" s="137">
        <f t="shared" si="75"/>
        <v>0</v>
      </c>
      <c r="BY23" s="160">
        <v>-100000000000</v>
      </c>
      <c r="BZ23" s="126">
        <v>5545205479</v>
      </c>
      <c r="CA23" s="238">
        <v>105063013699</v>
      </c>
      <c r="DD23" s="152"/>
      <c r="DQ23" s="128">
        <f t="shared" si="11"/>
        <v>3.1270229816436762E-3</v>
      </c>
      <c r="DR23" s="248">
        <f t="shared" si="12"/>
        <v>0.11312702298164368</v>
      </c>
      <c r="DS23" s="250"/>
      <c r="DT23" s="160">
        <f t="shared" si="13"/>
        <v>100000000000</v>
      </c>
      <c r="DU23" s="135">
        <f t="shared" si="76"/>
        <v>100006108172.36116</v>
      </c>
      <c r="DV23" s="135">
        <f t="shared" si="81"/>
        <v>-391.49955749511719</v>
      </c>
      <c r="DW23" s="135">
        <f t="shared" si="82"/>
        <v>-6.2306535423021646E-4</v>
      </c>
      <c r="DX23" s="135">
        <f t="shared" si="83"/>
        <v>-6.2306535423021646E-4</v>
      </c>
      <c r="DY23" s="135">
        <f t="shared" si="84"/>
        <v>-6.2306535423021646E-4</v>
      </c>
      <c r="DZ23" s="135">
        <f t="shared" si="85"/>
        <v>-6.2306535423021646E-4</v>
      </c>
      <c r="EA23" s="135">
        <f t="shared" si="86"/>
        <v>-6.2306535423021646E-4</v>
      </c>
      <c r="EB23" s="135">
        <f t="shared" si="87"/>
        <v>-6.2306535423021646E-4</v>
      </c>
      <c r="EC23" s="135">
        <f t="shared" si="88"/>
        <v>-6.2306535423021646E-4</v>
      </c>
      <c r="ED23" s="135">
        <f t="shared" si="89"/>
        <v>-6.2306535423021646E-4</v>
      </c>
      <c r="EE23" s="135">
        <f t="shared" si="90"/>
        <v>-6.2306535423021646E-4</v>
      </c>
      <c r="EF23" s="135">
        <f t="shared" si="91"/>
        <v>-6.2306535423021646E-4</v>
      </c>
      <c r="EG23" s="135">
        <f t="shared" si="92"/>
        <v>-6.2306535423021646E-4</v>
      </c>
      <c r="EH23" s="135">
        <f t="shared" si="93"/>
        <v>-6.2306535423021646E-4</v>
      </c>
      <c r="EI23" s="135">
        <f t="shared" si="94"/>
        <v>-6.2306535423021646E-4</v>
      </c>
      <c r="EJ23" s="135">
        <f t="shared" si="95"/>
        <v>-6.2306535423021646E-4</v>
      </c>
      <c r="EK23" s="135">
        <f t="shared" si="96"/>
        <v>-6.2306535423021646E-4</v>
      </c>
      <c r="EL23" s="135">
        <f t="shared" si="97"/>
        <v>-6.2306535423021646E-4</v>
      </c>
      <c r="EM23" s="135">
        <f t="shared" si="98"/>
        <v>-6.2306535423021646E-4</v>
      </c>
      <c r="EN23" s="135">
        <f t="shared" si="99"/>
        <v>-6.2306535423021646E-4</v>
      </c>
      <c r="EO23" s="135">
        <f t="shared" si="100"/>
        <v>-6.2306535423021646E-4</v>
      </c>
      <c r="EP23" s="135">
        <f t="shared" si="101"/>
        <v>-6.2306535423021646E-4</v>
      </c>
      <c r="EQ23" s="135">
        <f t="shared" si="102"/>
        <v>-6.2306535423021646E-4</v>
      </c>
      <c r="ER23" s="135">
        <f t="shared" si="103"/>
        <v>-6.2306535423021646E-4</v>
      </c>
      <c r="ES23" s="135">
        <f t="shared" si="104"/>
        <v>-6.2306535423021646E-4</v>
      </c>
      <c r="ET23" s="135">
        <f t="shared" si="105"/>
        <v>-6.2306535423021646E-4</v>
      </c>
      <c r="EU23" s="135">
        <f t="shared" si="106"/>
        <v>-6.2306535423021646E-4</v>
      </c>
      <c r="EV23" s="135">
        <f t="shared" si="107"/>
        <v>-6.2306535423021646E-4</v>
      </c>
      <c r="EW23" s="135">
        <f t="shared" si="108"/>
        <v>-6.2306535423021646E-4</v>
      </c>
      <c r="EX23" s="135">
        <f t="shared" si="109"/>
        <v>-6.2306535423021646E-4</v>
      </c>
      <c r="EY23" s="135">
        <f t="shared" si="110"/>
        <v>-6.2306535423021646E-4</v>
      </c>
      <c r="EZ23" s="135">
        <f t="shared" si="111"/>
        <v>-6.2306535423021646E-4</v>
      </c>
      <c r="FA23" s="135">
        <f t="shared" si="112"/>
        <v>-6.2306535423021646E-4</v>
      </c>
      <c r="FB23" s="135">
        <f t="shared" si="113"/>
        <v>-6.2306535423021646E-4</v>
      </c>
      <c r="FC23" s="135">
        <f t="shared" si="114"/>
        <v>-6.2306535423021646E-4</v>
      </c>
      <c r="FD23" s="135">
        <f t="shared" si="115"/>
        <v>-6.2306535423021646E-4</v>
      </c>
      <c r="FE23" s="135">
        <f t="shared" si="116"/>
        <v>-6.2306535423021646E-4</v>
      </c>
      <c r="FF23" s="135">
        <f t="shared" si="117"/>
        <v>-6.2306535423021646E-4</v>
      </c>
      <c r="FG23" s="135">
        <f t="shared" si="118"/>
        <v>-6.2306535423021646E-4</v>
      </c>
      <c r="FH23" s="135">
        <f t="shared" si="119"/>
        <v>-6.2306535423021646E-4</v>
      </c>
      <c r="FI23" s="135">
        <f t="shared" si="120"/>
        <v>-6.2306535423021646E-4</v>
      </c>
      <c r="FJ23" s="135">
        <f t="shared" si="121"/>
        <v>-6.2306535423021646E-4</v>
      </c>
      <c r="FK23" s="137">
        <f t="shared" si="122"/>
        <v>-6.2306535423021646E-4</v>
      </c>
      <c r="FM23" s="134">
        <f t="shared" si="63"/>
        <v>21</v>
      </c>
      <c r="FN23" s="164">
        <v>0</v>
      </c>
      <c r="FO23" s="124">
        <f>HLOOKUP(FN23,$AE$2:BW23,FM23+1,0)</f>
        <v>45117</v>
      </c>
      <c r="FP23" s="135">
        <f>HLOOKUP(FN23,$DT$2:FK23,FM23+1,0)</f>
        <v>100000000000</v>
      </c>
      <c r="FQ23" s="180">
        <f t="shared" si="59"/>
        <v>105100800238.71132</v>
      </c>
      <c r="FR23" s="126">
        <f t="shared" si="60"/>
        <v>105273972602.73973</v>
      </c>
      <c r="FS23" s="181">
        <f t="shared" si="61"/>
        <v>173172364.02841187</v>
      </c>
      <c r="FT23" s="165">
        <f t="shared" si="15"/>
        <v>0</v>
      </c>
    </row>
    <row r="24" spans="1:176">
      <c r="A24" s="134" t="s">
        <v>83</v>
      </c>
      <c r="B24" s="121" t="s">
        <v>85</v>
      </c>
      <c r="C24" s="121" t="s">
        <v>37</v>
      </c>
      <c r="D24" s="3" t="s">
        <v>31</v>
      </c>
      <c r="E24" s="121">
        <v>1</v>
      </c>
      <c r="F24" s="135">
        <v>100000000000</v>
      </c>
      <c r="G24" s="135">
        <v>100000000000</v>
      </c>
      <c r="H24" s="135">
        <f t="shared" si="80"/>
        <v>100000000000</v>
      </c>
      <c r="I24" s="136">
        <v>7.5000000000000011E-2</v>
      </c>
      <c r="J24" s="136"/>
      <c r="K24" s="124">
        <v>45107</v>
      </c>
      <c r="L24" s="124">
        <v>47299</v>
      </c>
      <c r="M24" s="253" t="s">
        <v>15</v>
      </c>
      <c r="N24" s="124">
        <v>45107</v>
      </c>
      <c r="O24" s="124">
        <f t="shared" si="125"/>
        <v>45107</v>
      </c>
      <c r="P24" s="137">
        <f>SUMIFS('Mua bán - filtered'!N:N,'Mua bán - filtered'!A:A,B24)</f>
        <v>3801369863.0136995</v>
      </c>
      <c r="T24" s="151">
        <f t="shared" si="5"/>
        <v>45107</v>
      </c>
      <c r="U24" s="124">
        <f t="shared" si="6"/>
        <v>47299</v>
      </c>
      <c r="V24" s="128">
        <f t="shared" si="66"/>
        <v>7.5000000000000011E-2</v>
      </c>
      <c r="W24" s="121" t="s">
        <v>165</v>
      </c>
      <c r="X24" s="121" t="str">
        <f t="shared" si="7"/>
        <v>6 tháng/lần</v>
      </c>
      <c r="Y24" s="121" cm="1">
        <f t="array" ref="Y24">_xlfn.IFS(X24="Quý",3,LEFT(X24,1)="6",6,X24="Năm",12,X24="Cuối kỳ",1)</f>
        <v>6</v>
      </c>
      <c r="Z24" s="124">
        <f t="shared" si="67"/>
        <v>45107</v>
      </c>
      <c r="AA24" s="174">
        <f>SUMIFS('Mua bán - filtered'!N:N,'Mua bán - filtered'!A:A,'Amortised cost 31.12.2023'!B24)</f>
        <v>3801369863.0136995</v>
      </c>
      <c r="AB24" s="152">
        <f t="shared" si="123"/>
        <v>12</v>
      </c>
      <c r="AC24" s="126">
        <f t="shared" si="9"/>
        <v>0</v>
      </c>
      <c r="AD24" s="126"/>
      <c r="AE24" s="151">
        <v>45107</v>
      </c>
      <c r="AF24" s="124">
        <v>45294</v>
      </c>
      <c r="AG24" s="124">
        <v>45473</v>
      </c>
      <c r="AH24" s="124">
        <f t="shared" ref="AH24:AQ24" si="126">EDATE(AG24,6)</f>
        <v>45656</v>
      </c>
      <c r="AI24" s="124">
        <f t="shared" si="126"/>
        <v>45838</v>
      </c>
      <c r="AJ24" s="124">
        <f t="shared" si="126"/>
        <v>46021</v>
      </c>
      <c r="AK24" s="124">
        <f t="shared" si="126"/>
        <v>46203</v>
      </c>
      <c r="AL24" s="124">
        <f t="shared" si="126"/>
        <v>46386</v>
      </c>
      <c r="AM24" s="124">
        <f t="shared" si="126"/>
        <v>46568</v>
      </c>
      <c r="AN24" s="124">
        <f t="shared" si="126"/>
        <v>46751</v>
      </c>
      <c r="AO24" s="124">
        <f t="shared" si="126"/>
        <v>46934</v>
      </c>
      <c r="AP24" s="124">
        <f t="shared" si="126"/>
        <v>47117</v>
      </c>
      <c r="AQ24" s="124">
        <f t="shared" si="126"/>
        <v>47299</v>
      </c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4"/>
      <c r="BC24" s="124"/>
      <c r="BW24" s="137">
        <f t="shared" si="75"/>
        <v>0</v>
      </c>
      <c r="BY24" s="160">
        <v>-100000000000</v>
      </c>
      <c r="BZ24" s="251">
        <v>4863287671</v>
      </c>
      <c r="CA24" s="252">
        <f t="shared" ref="CA24:CJ24" si="127">$H$24*$V$24/2</f>
        <v>3750000000.0000005</v>
      </c>
      <c r="CB24" s="252">
        <f t="shared" si="127"/>
        <v>3750000000.0000005</v>
      </c>
      <c r="CC24" s="252">
        <f t="shared" si="127"/>
        <v>3750000000.0000005</v>
      </c>
      <c r="CD24" s="252">
        <f t="shared" si="127"/>
        <v>3750000000.0000005</v>
      </c>
      <c r="CE24" s="252">
        <f t="shared" si="127"/>
        <v>3750000000.0000005</v>
      </c>
      <c r="CF24" s="252">
        <f t="shared" si="127"/>
        <v>3750000000.0000005</v>
      </c>
      <c r="CG24" s="252">
        <f t="shared" si="127"/>
        <v>3750000000.0000005</v>
      </c>
      <c r="CH24" s="252">
        <f t="shared" si="127"/>
        <v>3750000000.0000005</v>
      </c>
      <c r="CI24" s="252">
        <f t="shared" si="127"/>
        <v>3750000000.0000005</v>
      </c>
      <c r="CJ24" s="252">
        <f t="shared" si="127"/>
        <v>3750000000.0000005</v>
      </c>
      <c r="CK24" s="239">
        <f>$H$24*$V$24/2+H24</f>
        <v>103750000000</v>
      </c>
      <c r="CL24" s="130"/>
      <c r="DD24" s="152"/>
      <c r="DQ24" s="128">
        <f t="shared" si="11"/>
        <v>3.6695629358291654E-3</v>
      </c>
      <c r="DR24" s="248">
        <f t="shared" si="12"/>
        <v>7.8669562935829176E-2</v>
      </c>
      <c r="DS24" s="250"/>
      <c r="DT24" s="160">
        <f t="shared" si="13"/>
        <v>100000000000</v>
      </c>
      <c r="DU24" s="135">
        <f>DT24*(1+$DR24)^((AF24-AE24)/365)-BZ24</f>
        <v>99092742354.693359</v>
      </c>
      <c r="DV24" s="135">
        <f>DU24*(1+$DR24)^((AG24-AF24)/365)-CA24</f>
        <v>99092041987.76004</v>
      </c>
      <c r="DW24" s="135">
        <f>DV24*(1+$DR24)^((AH24-AG24)/365)-CB24</f>
        <v>99176698577.131622</v>
      </c>
      <c r="DX24" s="135">
        <f t="shared" si="83"/>
        <v>99243260451.615021</v>
      </c>
      <c r="DY24" s="135">
        <f t="shared" si="84"/>
        <v>99333768882.034821</v>
      </c>
      <c r="DZ24" s="135">
        <f t="shared" si="85"/>
        <v>99406375205.929306</v>
      </c>
      <c r="EA24" s="135">
        <f t="shared" si="86"/>
        <v>99503195839.174957</v>
      </c>
      <c r="EB24" s="135">
        <f t="shared" si="87"/>
        <v>99582322126.673874</v>
      </c>
      <c r="EC24" s="135">
        <f t="shared" si="88"/>
        <v>99685951540.982864</v>
      </c>
      <c r="ED24" s="135">
        <f t="shared" si="89"/>
        <v>99793591198.783264</v>
      </c>
      <c r="EE24" s="135">
        <f t="shared" si="90"/>
        <v>99905396288.18425</v>
      </c>
      <c r="EF24" s="135">
        <f t="shared" si="91"/>
        <v>232.44741821289063</v>
      </c>
      <c r="EG24" s="135">
        <f t="shared" si="92"/>
        <v>1.2718487321869207E-2</v>
      </c>
      <c r="EH24" s="135">
        <f t="shared" si="93"/>
        <v>1.2718487321869207E-2</v>
      </c>
      <c r="EI24" s="135">
        <f t="shared" si="94"/>
        <v>1.2718487321869207E-2</v>
      </c>
      <c r="EJ24" s="135">
        <f t="shared" si="95"/>
        <v>1.2718487321869207E-2</v>
      </c>
      <c r="EK24" s="135">
        <f t="shared" si="96"/>
        <v>1.2718487321869207E-2</v>
      </c>
      <c r="EL24" s="135">
        <f t="shared" si="97"/>
        <v>1.2718487321869207E-2</v>
      </c>
      <c r="EM24" s="135">
        <f t="shared" si="98"/>
        <v>1.2718487321869207E-2</v>
      </c>
      <c r="EN24" s="135">
        <f t="shared" si="99"/>
        <v>1.2718487321869207E-2</v>
      </c>
      <c r="EO24" s="135">
        <f t="shared" si="100"/>
        <v>1.2718487321869207E-2</v>
      </c>
      <c r="EP24" s="135">
        <f t="shared" si="101"/>
        <v>1.2718487321869207E-2</v>
      </c>
      <c r="EQ24" s="135">
        <f t="shared" si="102"/>
        <v>1.2718487321869207E-2</v>
      </c>
      <c r="ER24" s="135">
        <f t="shared" si="103"/>
        <v>1.2718487321869207E-2</v>
      </c>
      <c r="ES24" s="135">
        <f t="shared" si="104"/>
        <v>1.2718487321869207E-2</v>
      </c>
      <c r="ET24" s="135">
        <f t="shared" si="105"/>
        <v>1.2718487321869207E-2</v>
      </c>
      <c r="EU24" s="135">
        <f t="shared" si="106"/>
        <v>1.2718487321869207E-2</v>
      </c>
      <c r="EV24" s="135">
        <f t="shared" si="107"/>
        <v>1.2718487321869207E-2</v>
      </c>
      <c r="EW24" s="135">
        <f t="shared" si="108"/>
        <v>1.2718487321869207E-2</v>
      </c>
      <c r="EX24" s="135">
        <f t="shared" si="109"/>
        <v>1.2718487321869207E-2</v>
      </c>
      <c r="EY24" s="135">
        <f t="shared" si="110"/>
        <v>1.2718487321869207E-2</v>
      </c>
      <c r="EZ24" s="135">
        <f t="shared" si="111"/>
        <v>1.2718487321869207E-2</v>
      </c>
      <c r="FA24" s="135">
        <f t="shared" si="112"/>
        <v>1.2718487321869207E-2</v>
      </c>
      <c r="FB24" s="135">
        <f t="shared" si="113"/>
        <v>1.2718487321869207E-2</v>
      </c>
      <c r="FC24" s="135">
        <f t="shared" si="114"/>
        <v>1.2718487321869207E-2</v>
      </c>
      <c r="FD24" s="135">
        <f t="shared" si="115"/>
        <v>1.2718487321869207E-2</v>
      </c>
      <c r="FE24" s="135">
        <f t="shared" si="116"/>
        <v>1.2718487321869207E-2</v>
      </c>
      <c r="FF24" s="135">
        <f t="shared" si="117"/>
        <v>1.2718487321869207E-2</v>
      </c>
      <c r="FG24" s="135">
        <f t="shared" si="118"/>
        <v>1.2718487321869207E-2</v>
      </c>
      <c r="FH24" s="135">
        <f t="shared" si="119"/>
        <v>1.2718487321869207E-2</v>
      </c>
      <c r="FI24" s="135">
        <f t="shared" si="120"/>
        <v>1.2718487321869207E-2</v>
      </c>
      <c r="FJ24" s="135">
        <f t="shared" si="121"/>
        <v>1.2718487321869207E-2</v>
      </c>
      <c r="FK24" s="137">
        <f t="shared" si="122"/>
        <v>1.2718487321869207E-2</v>
      </c>
      <c r="FM24" s="134">
        <f t="shared" si="63"/>
        <v>22</v>
      </c>
      <c r="FN24" s="164">
        <v>0</v>
      </c>
      <c r="FO24" s="124">
        <f>HLOOKUP(FN24,$AE$2:BW24,FM24+1,0)</f>
        <v>45107</v>
      </c>
      <c r="FP24" s="135">
        <f>HLOOKUP(FN24,$DT$2:FK24,FM24+1,0)</f>
        <v>100000000000</v>
      </c>
      <c r="FQ24" s="180">
        <f>FP24*(1+V24)^(($FP$1-FO24)/365)</f>
        <v>103713026548.22363</v>
      </c>
      <c r="FR24" s="126">
        <f t="shared" si="60"/>
        <v>103801369863.0137</v>
      </c>
      <c r="FS24" s="181">
        <f t="shared" si="61"/>
        <v>88343314.79006958</v>
      </c>
      <c r="FT24" s="165">
        <f t="shared" si="15"/>
        <v>0</v>
      </c>
    </row>
    <row r="25" spans="1:176">
      <c r="A25" s="134" t="s">
        <v>83</v>
      </c>
      <c r="B25" s="121" t="s">
        <v>38</v>
      </c>
      <c r="C25" s="121" t="s">
        <v>38</v>
      </c>
      <c r="D25" s="3" t="s">
        <v>31</v>
      </c>
      <c r="E25" s="121">
        <v>10</v>
      </c>
      <c r="F25" s="135">
        <v>10000000000</v>
      </c>
      <c r="G25" s="135">
        <v>1000000000</v>
      </c>
      <c r="H25" s="135">
        <f t="shared" si="80"/>
        <v>10000000000</v>
      </c>
      <c r="I25" s="136">
        <v>0.108</v>
      </c>
      <c r="J25" s="136"/>
      <c r="K25" s="124">
        <v>45140</v>
      </c>
      <c r="L25" s="124">
        <v>45505</v>
      </c>
      <c r="M25" s="69" t="s">
        <v>161</v>
      </c>
      <c r="N25" s="124">
        <v>45140</v>
      </c>
      <c r="O25" s="124">
        <f t="shared" si="125"/>
        <v>45140</v>
      </c>
      <c r="P25" s="137">
        <f>SUMIFS('Mua bán - filtered'!N:N,'Mua bán - filtered'!A:A,B25)</f>
        <v>449753424.65753424</v>
      </c>
      <c r="T25" s="151">
        <f t="shared" si="5"/>
        <v>45140</v>
      </c>
      <c r="U25" s="124">
        <f t="shared" si="6"/>
        <v>45505</v>
      </c>
      <c r="V25" s="128">
        <f t="shared" si="66"/>
        <v>0.108</v>
      </c>
      <c r="W25" s="121" t="s">
        <v>155</v>
      </c>
      <c r="X25" s="121" t="str">
        <f t="shared" si="7"/>
        <v>Cuối kỳ</v>
      </c>
      <c r="Y25" s="121" cm="1">
        <f t="array" ref="Y25">_xlfn.IFS(X25="Quý",3,LEFT(X25,1)="6",6,X25="Năm",12,X25="Cuối kỳ",1)</f>
        <v>1</v>
      </c>
      <c r="Z25" s="124">
        <f t="shared" si="67"/>
        <v>45140</v>
      </c>
      <c r="AA25" s="174">
        <f>SUMIFS('Mua bán - filtered'!N:N,'Mua bán - filtered'!A:A,'Amortised cost 31.12.2023'!B25)</f>
        <v>449753424.65753424</v>
      </c>
      <c r="AB25" s="152">
        <f t="shared" si="123"/>
        <v>1</v>
      </c>
      <c r="AC25" s="126">
        <f t="shared" si="9"/>
        <v>0</v>
      </c>
      <c r="AD25" s="126"/>
      <c r="AE25" s="151">
        <v>45140</v>
      </c>
      <c r="AF25" s="124">
        <v>45505</v>
      </c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4"/>
      <c r="BC25" s="124"/>
      <c r="BW25" s="137">
        <f t="shared" si="75"/>
        <v>0</v>
      </c>
      <c r="BY25" s="160">
        <v>-10000000000</v>
      </c>
      <c r="BZ25" s="126">
        <f>H25+H25*V25*(L25-K25)/365</f>
        <v>11080000000</v>
      </c>
      <c r="DD25" s="152"/>
      <c r="DQ25" s="128">
        <f t="shared" si="11"/>
        <v>-1.6689300635919224E-9</v>
      </c>
      <c r="DR25" s="248">
        <f t="shared" si="12"/>
        <v>0.10799999833106994</v>
      </c>
      <c r="DS25" s="250"/>
      <c r="DT25" s="160">
        <f t="shared" si="13"/>
        <v>10000000000</v>
      </c>
      <c r="DU25" s="135">
        <f t="shared" si="76"/>
        <v>-16.689300537109375</v>
      </c>
      <c r="DV25" s="135">
        <f t="shared" si="81"/>
        <v>-4.6731678133156817E-5</v>
      </c>
      <c r="DW25" s="135">
        <f t="shared" si="82"/>
        <v>-4.6731678133156817E-5</v>
      </c>
      <c r="DX25" s="135">
        <f t="shared" si="83"/>
        <v>-4.6731678133156817E-5</v>
      </c>
      <c r="DY25" s="135">
        <f t="shared" si="84"/>
        <v>-4.6731678133156817E-5</v>
      </c>
      <c r="DZ25" s="135">
        <f t="shared" si="85"/>
        <v>-4.6731678133156817E-5</v>
      </c>
      <c r="EA25" s="135">
        <f t="shared" si="86"/>
        <v>-4.6731678133156817E-5</v>
      </c>
      <c r="EB25" s="135">
        <f t="shared" si="87"/>
        <v>-4.6731678133156817E-5</v>
      </c>
      <c r="EC25" s="135">
        <f t="shared" si="88"/>
        <v>-4.6731678133156817E-5</v>
      </c>
      <c r="ED25" s="135">
        <f t="shared" si="89"/>
        <v>-4.6731678133156817E-5</v>
      </c>
      <c r="EE25" s="135">
        <f t="shared" si="90"/>
        <v>-4.6731678133156817E-5</v>
      </c>
      <c r="EF25" s="135">
        <f t="shared" si="91"/>
        <v>-4.6731678133156817E-5</v>
      </c>
      <c r="EG25" s="135">
        <f t="shared" si="92"/>
        <v>-4.6731678133156817E-5</v>
      </c>
      <c r="EH25" s="135">
        <f t="shared" si="93"/>
        <v>-4.6731678133156817E-5</v>
      </c>
      <c r="EI25" s="135">
        <f t="shared" si="94"/>
        <v>-4.6731678133156817E-5</v>
      </c>
      <c r="EJ25" s="135">
        <f t="shared" si="95"/>
        <v>-4.6731678133156817E-5</v>
      </c>
      <c r="EK25" s="135">
        <f t="shared" si="96"/>
        <v>-4.6731678133156817E-5</v>
      </c>
      <c r="EL25" s="135">
        <f t="shared" si="97"/>
        <v>-4.6731678133156817E-5</v>
      </c>
      <c r="EM25" s="135">
        <f t="shared" si="98"/>
        <v>-4.6731678133156817E-5</v>
      </c>
      <c r="EN25" s="135">
        <f t="shared" si="99"/>
        <v>-4.6731678133156817E-5</v>
      </c>
      <c r="EO25" s="135">
        <f t="shared" si="100"/>
        <v>-4.6731678133156817E-5</v>
      </c>
      <c r="EP25" s="135">
        <f t="shared" si="101"/>
        <v>-4.6731678133156817E-5</v>
      </c>
      <c r="EQ25" s="135">
        <f t="shared" si="102"/>
        <v>-4.6731678133156817E-5</v>
      </c>
      <c r="ER25" s="135">
        <f t="shared" si="103"/>
        <v>-4.6731678133156817E-5</v>
      </c>
      <c r="ES25" s="135">
        <f t="shared" si="104"/>
        <v>-4.6731678133156817E-5</v>
      </c>
      <c r="ET25" s="135">
        <f t="shared" si="105"/>
        <v>-4.6731678133156817E-5</v>
      </c>
      <c r="EU25" s="135">
        <f t="shared" si="106"/>
        <v>-4.6731678133156817E-5</v>
      </c>
      <c r="EV25" s="135">
        <f t="shared" si="107"/>
        <v>-4.6731678133156817E-5</v>
      </c>
      <c r="EW25" s="135">
        <f t="shared" si="108"/>
        <v>-4.6731678133156817E-5</v>
      </c>
      <c r="EX25" s="135">
        <f t="shared" si="109"/>
        <v>-4.6731678133156817E-5</v>
      </c>
      <c r="EY25" s="135">
        <f t="shared" si="110"/>
        <v>-4.6731678133156817E-5</v>
      </c>
      <c r="EZ25" s="135">
        <f t="shared" si="111"/>
        <v>-4.6731678133156817E-5</v>
      </c>
      <c r="FA25" s="135">
        <f t="shared" si="112"/>
        <v>-4.6731678133156817E-5</v>
      </c>
      <c r="FB25" s="135">
        <f t="shared" si="113"/>
        <v>-4.6731678133156817E-5</v>
      </c>
      <c r="FC25" s="135">
        <f t="shared" si="114"/>
        <v>-4.6731678133156817E-5</v>
      </c>
      <c r="FD25" s="135">
        <f t="shared" si="115"/>
        <v>-4.6731678133156817E-5</v>
      </c>
      <c r="FE25" s="135">
        <f t="shared" si="116"/>
        <v>-4.6731678133156817E-5</v>
      </c>
      <c r="FF25" s="135">
        <f t="shared" si="117"/>
        <v>-4.6731678133156817E-5</v>
      </c>
      <c r="FG25" s="135">
        <f t="shared" si="118"/>
        <v>-4.6731678133156817E-5</v>
      </c>
      <c r="FH25" s="135">
        <f t="shared" si="119"/>
        <v>-4.6731678133156817E-5</v>
      </c>
      <c r="FI25" s="135">
        <f t="shared" si="120"/>
        <v>-4.6731678133156817E-5</v>
      </c>
      <c r="FJ25" s="135">
        <f t="shared" si="121"/>
        <v>-4.6731678133156817E-5</v>
      </c>
      <c r="FK25" s="137">
        <f t="shared" si="122"/>
        <v>-4.6731678133156817E-5</v>
      </c>
      <c r="FM25" s="134">
        <f t="shared" si="63"/>
        <v>23</v>
      </c>
      <c r="FN25" s="164">
        <v>0</v>
      </c>
      <c r="FO25" s="124">
        <f>HLOOKUP(FN25,$AE$2:BW25,FM25+1,0)</f>
        <v>45140</v>
      </c>
      <c r="FP25" s="135">
        <f>HLOOKUP(FN25,$DT$2:FK25,FM25+1,0)</f>
        <v>10000000000</v>
      </c>
      <c r="FQ25" s="180">
        <f t="shared" si="59"/>
        <v>10433404324.245785</v>
      </c>
      <c r="FR25" s="126">
        <f t="shared" si="60"/>
        <v>10449753424.657534</v>
      </c>
      <c r="FS25" s="181">
        <f t="shared" si="61"/>
        <v>16349100.411748886</v>
      </c>
      <c r="FT25" s="165">
        <f t="shared" si="15"/>
        <v>0</v>
      </c>
    </row>
    <row r="26" spans="1:176">
      <c r="A26" s="134" t="s">
        <v>83</v>
      </c>
      <c r="B26" s="121" t="s">
        <v>39</v>
      </c>
      <c r="C26" s="121" t="s">
        <v>39</v>
      </c>
      <c r="D26" s="3" t="s">
        <v>31</v>
      </c>
      <c r="E26" s="135">
        <v>10</v>
      </c>
      <c r="F26" s="135">
        <v>10000000000</v>
      </c>
      <c r="G26" s="135">
        <v>1000000000</v>
      </c>
      <c r="H26" s="135">
        <f t="shared" si="80"/>
        <v>10000000000</v>
      </c>
      <c r="I26" s="136">
        <v>0.108</v>
      </c>
      <c r="J26" s="136"/>
      <c r="K26" s="124">
        <v>45161</v>
      </c>
      <c r="L26" s="124">
        <v>45526</v>
      </c>
      <c r="M26" s="69" t="s">
        <v>161</v>
      </c>
      <c r="N26" s="124">
        <v>45161</v>
      </c>
      <c r="O26" s="124">
        <f t="shared" si="125"/>
        <v>45161</v>
      </c>
      <c r="P26" s="137">
        <f>SUMIFS('Mua bán - filtered'!N:N,'Mua bán - filtered'!A:A,B26)</f>
        <v>387616438.3561644</v>
      </c>
      <c r="T26" s="151">
        <f t="shared" si="5"/>
        <v>45161</v>
      </c>
      <c r="U26" s="124">
        <f t="shared" si="6"/>
        <v>45526</v>
      </c>
      <c r="V26" s="128">
        <f t="shared" si="66"/>
        <v>0.108</v>
      </c>
      <c r="W26" s="121" t="s">
        <v>155</v>
      </c>
      <c r="X26" s="121" t="str">
        <f t="shared" si="7"/>
        <v>Cuối kỳ</v>
      </c>
      <c r="Y26" s="121" cm="1">
        <f t="array" ref="Y26">_xlfn.IFS(X26="Quý",3,LEFT(X26,1)="6",6,X26="Năm",12,X26="Cuối kỳ",1)</f>
        <v>1</v>
      </c>
      <c r="Z26" s="124">
        <f t="shared" si="67"/>
        <v>45161</v>
      </c>
      <c r="AA26" s="174">
        <f>SUMIFS('Mua bán - filtered'!N:N,'Mua bán - filtered'!A:A,'Amortised cost 31.12.2023'!B26)</f>
        <v>387616438.3561644</v>
      </c>
      <c r="AB26" s="152">
        <f t="shared" si="123"/>
        <v>1</v>
      </c>
      <c r="AC26" s="126">
        <f t="shared" si="9"/>
        <v>0</v>
      </c>
      <c r="AD26" s="126"/>
      <c r="AE26" s="151">
        <v>45161</v>
      </c>
      <c r="AF26" s="124">
        <v>45526</v>
      </c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4"/>
      <c r="BC26" s="124"/>
      <c r="BW26" s="137">
        <f t="shared" si="75"/>
        <v>0</v>
      </c>
      <c r="BY26" s="160">
        <v>-10000000000</v>
      </c>
      <c r="BZ26" s="126">
        <f>H26+H26*V26*(L26-K26)/365</f>
        <v>11080000000</v>
      </c>
      <c r="DD26" s="152"/>
      <c r="DQ26" s="128">
        <f t="shared" si="11"/>
        <v>-1.6689300635919224E-9</v>
      </c>
      <c r="DR26" s="248">
        <f t="shared" si="12"/>
        <v>0.10799999833106994</v>
      </c>
      <c r="DS26" s="250"/>
      <c r="DT26" s="160">
        <f t="shared" si="13"/>
        <v>10000000000</v>
      </c>
      <c r="DU26" s="135">
        <f t="shared" si="76"/>
        <v>-16.689300537109375</v>
      </c>
      <c r="DV26" s="135">
        <f t="shared" si="81"/>
        <v>-4.6456749030218347E-5</v>
      </c>
      <c r="DW26" s="135">
        <f t="shared" si="82"/>
        <v>-4.6456749030218347E-5</v>
      </c>
      <c r="DX26" s="135">
        <f t="shared" si="83"/>
        <v>-4.6456749030218347E-5</v>
      </c>
      <c r="DY26" s="135">
        <f t="shared" si="84"/>
        <v>-4.6456749030218347E-5</v>
      </c>
      <c r="DZ26" s="135">
        <f t="shared" si="85"/>
        <v>-4.6456749030218347E-5</v>
      </c>
      <c r="EA26" s="135">
        <f t="shared" si="86"/>
        <v>-4.6456749030218347E-5</v>
      </c>
      <c r="EB26" s="135">
        <f t="shared" si="87"/>
        <v>-4.6456749030218347E-5</v>
      </c>
      <c r="EC26" s="135">
        <f t="shared" si="88"/>
        <v>-4.6456749030218347E-5</v>
      </c>
      <c r="ED26" s="135">
        <f t="shared" si="89"/>
        <v>-4.6456749030218347E-5</v>
      </c>
      <c r="EE26" s="135">
        <f t="shared" si="90"/>
        <v>-4.6456749030218347E-5</v>
      </c>
      <c r="EF26" s="135">
        <f t="shared" si="91"/>
        <v>-4.6456749030218347E-5</v>
      </c>
      <c r="EG26" s="135">
        <f t="shared" si="92"/>
        <v>-4.6456749030218347E-5</v>
      </c>
      <c r="EH26" s="135">
        <f t="shared" si="93"/>
        <v>-4.6456749030218347E-5</v>
      </c>
      <c r="EI26" s="135">
        <f t="shared" si="94"/>
        <v>-4.6456749030218347E-5</v>
      </c>
      <c r="EJ26" s="135">
        <f t="shared" si="95"/>
        <v>-4.6456749030218347E-5</v>
      </c>
      <c r="EK26" s="135">
        <f t="shared" si="96"/>
        <v>-4.6456749030218347E-5</v>
      </c>
      <c r="EL26" s="135">
        <f t="shared" si="97"/>
        <v>-4.6456749030218347E-5</v>
      </c>
      <c r="EM26" s="135">
        <f t="shared" si="98"/>
        <v>-4.6456749030218347E-5</v>
      </c>
      <c r="EN26" s="135">
        <f t="shared" si="99"/>
        <v>-4.6456749030218347E-5</v>
      </c>
      <c r="EO26" s="135">
        <f t="shared" si="100"/>
        <v>-4.6456749030218347E-5</v>
      </c>
      <c r="EP26" s="135">
        <f t="shared" si="101"/>
        <v>-4.6456749030218347E-5</v>
      </c>
      <c r="EQ26" s="135">
        <f t="shared" si="102"/>
        <v>-4.6456749030218347E-5</v>
      </c>
      <c r="ER26" s="135">
        <f t="shared" si="103"/>
        <v>-4.6456749030218347E-5</v>
      </c>
      <c r="ES26" s="135">
        <f t="shared" si="104"/>
        <v>-4.6456749030218347E-5</v>
      </c>
      <c r="ET26" s="135">
        <f t="shared" si="105"/>
        <v>-4.6456749030218347E-5</v>
      </c>
      <c r="EU26" s="135">
        <f t="shared" si="106"/>
        <v>-4.6456749030218347E-5</v>
      </c>
      <c r="EV26" s="135">
        <f t="shared" si="107"/>
        <v>-4.6456749030218347E-5</v>
      </c>
      <c r="EW26" s="135">
        <f t="shared" si="108"/>
        <v>-4.6456749030218347E-5</v>
      </c>
      <c r="EX26" s="135">
        <f t="shared" si="109"/>
        <v>-4.6456749030218347E-5</v>
      </c>
      <c r="EY26" s="135">
        <f t="shared" si="110"/>
        <v>-4.6456749030218347E-5</v>
      </c>
      <c r="EZ26" s="135">
        <f t="shared" si="111"/>
        <v>-4.6456749030218347E-5</v>
      </c>
      <c r="FA26" s="135">
        <f t="shared" si="112"/>
        <v>-4.6456749030218347E-5</v>
      </c>
      <c r="FB26" s="135">
        <f t="shared" si="113"/>
        <v>-4.6456749030218347E-5</v>
      </c>
      <c r="FC26" s="135">
        <f t="shared" si="114"/>
        <v>-4.6456749030218347E-5</v>
      </c>
      <c r="FD26" s="135">
        <f t="shared" si="115"/>
        <v>-4.6456749030218347E-5</v>
      </c>
      <c r="FE26" s="135">
        <f t="shared" si="116"/>
        <v>-4.6456749030218347E-5</v>
      </c>
      <c r="FF26" s="135">
        <f t="shared" si="117"/>
        <v>-4.6456749030218347E-5</v>
      </c>
      <c r="FG26" s="135">
        <f t="shared" si="118"/>
        <v>-4.6456749030218347E-5</v>
      </c>
      <c r="FH26" s="135">
        <f t="shared" si="119"/>
        <v>-4.6456749030218347E-5</v>
      </c>
      <c r="FI26" s="135">
        <f t="shared" si="120"/>
        <v>-4.6456749030218347E-5</v>
      </c>
      <c r="FJ26" s="135">
        <f t="shared" si="121"/>
        <v>-4.6456749030218347E-5</v>
      </c>
      <c r="FK26" s="137">
        <f t="shared" si="122"/>
        <v>-4.6456749030218347E-5</v>
      </c>
      <c r="FM26" s="134">
        <f t="shared" si="63"/>
        <v>24</v>
      </c>
      <c r="FN26" s="164">
        <v>0</v>
      </c>
      <c r="FO26" s="124">
        <f>HLOOKUP(FN26,$AE$2:BW26,FM26+1,0)</f>
        <v>45161</v>
      </c>
      <c r="FP26" s="135">
        <f>HLOOKUP(FN26,$DT$2:FK26,FM26+1,0)</f>
        <v>10000000000</v>
      </c>
      <c r="FQ26" s="180">
        <f t="shared" si="59"/>
        <v>10372023123.140816</v>
      </c>
      <c r="FR26" s="126">
        <f t="shared" si="60"/>
        <v>10387616438.356165</v>
      </c>
      <c r="FS26" s="181">
        <f t="shared" si="61"/>
        <v>15593315.215349197</v>
      </c>
      <c r="FT26" s="165">
        <f t="shared" si="15"/>
        <v>0</v>
      </c>
    </row>
    <row r="27" spans="1:176">
      <c r="A27" s="134" t="s">
        <v>87</v>
      </c>
      <c r="B27" s="121" t="s">
        <v>93</v>
      </c>
      <c r="C27" s="121" t="s">
        <v>93</v>
      </c>
      <c r="D27" s="143" t="s">
        <v>31</v>
      </c>
      <c r="E27" s="135">
        <v>35</v>
      </c>
      <c r="F27" s="135">
        <v>35683506845</v>
      </c>
      <c r="G27" s="135">
        <v>1000000000</v>
      </c>
      <c r="H27" s="135">
        <f t="shared" si="80"/>
        <v>35000000000</v>
      </c>
      <c r="I27" s="136">
        <v>0.108</v>
      </c>
      <c r="J27" s="136"/>
      <c r="K27" s="124">
        <v>45139</v>
      </c>
      <c r="L27" s="124">
        <v>45504</v>
      </c>
      <c r="M27" s="69" t="s">
        <v>161</v>
      </c>
      <c r="N27" s="124">
        <v>45205</v>
      </c>
      <c r="O27" s="124">
        <f t="shared" si="125"/>
        <v>45205</v>
      </c>
      <c r="P27" s="137">
        <f t="shared" ref="P27:P29" si="128">H27*I27*($O$1-O27+1)/365</f>
        <v>900986301.36986303</v>
      </c>
      <c r="T27" s="151">
        <f t="shared" si="5"/>
        <v>45139</v>
      </c>
      <c r="U27" s="124">
        <f t="shared" si="6"/>
        <v>45504</v>
      </c>
      <c r="V27" s="128">
        <f t="shared" si="66"/>
        <v>0.108</v>
      </c>
      <c r="W27" s="121" t="s">
        <v>155</v>
      </c>
      <c r="X27" s="121" t="str">
        <f t="shared" si="7"/>
        <v>Cuối kỳ</v>
      </c>
      <c r="Y27" s="121" cm="1">
        <f t="array" ref="Y27">_xlfn.IFS(X27="Quý",3,LEFT(X27,1)="6",6,X27="Năm",12,X27="Cuối kỳ",1)</f>
        <v>1</v>
      </c>
      <c r="Z27" s="124">
        <f t="shared" si="67"/>
        <v>45205</v>
      </c>
      <c r="AA27" s="174">
        <f>H27*I27*($O$1-O27+1)/365</f>
        <v>900986301.36986303</v>
      </c>
      <c r="AB27" s="152">
        <f t="shared" si="123"/>
        <v>1</v>
      </c>
      <c r="AC27" s="126">
        <f t="shared" si="9"/>
        <v>0</v>
      </c>
      <c r="AD27" s="126"/>
      <c r="AE27" s="151">
        <v>45205</v>
      </c>
      <c r="AF27" s="124">
        <v>45504</v>
      </c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4"/>
      <c r="BC27" s="124"/>
      <c r="BW27" s="137">
        <f t="shared" si="75"/>
        <v>0</v>
      </c>
      <c r="BY27" s="160">
        <v>-35683506845</v>
      </c>
      <c r="BZ27" s="126">
        <f>H27+H27*I27*(L27-K27)/365</f>
        <v>38780000000</v>
      </c>
      <c r="DD27" s="152"/>
      <c r="DQ27" s="128">
        <f t="shared" si="11"/>
        <v>-1.0761873722076459E-3</v>
      </c>
      <c r="DR27" s="248">
        <f t="shared" si="12"/>
        <v>0.10692381262779235</v>
      </c>
      <c r="DS27" s="250"/>
      <c r="DT27" s="160">
        <f t="shared" si="13"/>
        <v>35683506845</v>
      </c>
      <c r="DU27" s="135">
        <f t="shared" si="76"/>
        <v>144.49327087402344</v>
      </c>
      <c r="DV27" s="135">
        <f t="shared" si="81"/>
        <v>4.5683215730335156E-4</v>
      </c>
      <c r="DW27" s="135">
        <f t="shared" si="82"/>
        <v>4.5683215730335156E-4</v>
      </c>
      <c r="DX27" s="135">
        <f t="shared" si="83"/>
        <v>4.5683215730335156E-4</v>
      </c>
      <c r="DY27" s="135">
        <f t="shared" si="84"/>
        <v>4.5683215730335156E-4</v>
      </c>
      <c r="DZ27" s="135">
        <f t="shared" si="85"/>
        <v>4.5683215730335156E-4</v>
      </c>
      <c r="EA27" s="135">
        <f t="shared" si="86"/>
        <v>4.5683215730335156E-4</v>
      </c>
      <c r="EB27" s="135">
        <f t="shared" si="87"/>
        <v>4.5683215730335156E-4</v>
      </c>
      <c r="EC27" s="135">
        <f t="shared" si="88"/>
        <v>4.5683215730335156E-4</v>
      </c>
      <c r="ED27" s="135">
        <f t="shared" si="89"/>
        <v>4.5683215730335156E-4</v>
      </c>
      <c r="EE27" s="135">
        <f t="shared" si="90"/>
        <v>4.5683215730335156E-4</v>
      </c>
      <c r="EF27" s="135">
        <f t="shared" si="91"/>
        <v>4.5683215730335156E-4</v>
      </c>
      <c r="EG27" s="135">
        <f t="shared" si="92"/>
        <v>4.5683215730335156E-4</v>
      </c>
      <c r="EH27" s="135">
        <f t="shared" si="93"/>
        <v>4.5683215730335156E-4</v>
      </c>
      <c r="EI27" s="135">
        <f t="shared" si="94"/>
        <v>4.5683215730335156E-4</v>
      </c>
      <c r="EJ27" s="135">
        <f t="shared" si="95"/>
        <v>4.5683215730335156E-4</v>
      </c>
      <c r="EK27" s="135">
        <f t="shared" si="96"/>
        <v>4.5683215730335156E-4</v>
      </c>
      <c r="EL27" s="135">
        <f t="shared" si="97"/>
        <v>4.5683215730335156E-4</v>
      </c>
      <c r="EM27" s="135">
        <f t="shared" si="98"/>
        <v>4.5683215730335156E-4</v>
      </c>
      <c r="EN27" s="135">
        <f t="shared" si="99"/>
        <v>4.5683215730335156E-4</v>
      </c>
      <c r="EO27" s="135">
        <f t="shared" si="100"/>
        <v>4.5683215730335156E-4</v>
      </c>
      <c r="EP27" s="135">
        <f t="shared" si="101"/>
        <v>4.5683215730335156E-4</v>
      </c>
      <c r="EQ27" s="135">
        <f t="shared" si="102"/>
        <v>4.5683215730335156E-4</v>
      </c>
      <c r="ER27" s="135">
        <f t="shared" si="103"/>
        <v>4.5683215730335156E-4</v>
      </c>
      <c r="ES27" s="135">
        <f t="shared" si="104"/>
        <v>4.5683215730335156E-4</v>
      </c>
      <c r="ET27" s="135">
        <f t="shared" si="105"/>
        <v>4.5683215730335156E-4</v>
      </c>
      <c r="EU27" s="135">
        <f t="shared" si="106"/>
        <v>4.5683215730335156E-4</v>
      </c>
      <c r="EV27" s="135">
        <f t="shared" si="107"/>
        <v>4.5683215730335156E-4</v>
      </c>
      <c r="EW27" s="135">
        <f t="shared" si="108"/>
        <v>4.5683215730335156E-4</v>
      </c>
      <c r="EX27" s="135">
        <f t="shared" si="109"/>
        <v>4.5683215730335156E-4</v>
      </c>
      <c r="EY27" s="135">
        <f t="shared" si="110"/>
        <v>4.5683215730335156E-4</v>
      </c>
      <c r="EZ27" s="135">
        <f t="shared" si="111"/>
        <v>4.5683215730335156E-4</v>
      </c>
      <c r="FA27" s="135">
        <f t="shared" si="112"/>
        <v>4.5683215730335156E-4</v>
      </c>
      <c r="FB27" s="135">
        <f t="shared" si="113"/>
        <v>4.5683215730335156E-4</v>
      </c>
      <c r="FC27" s="135">
        <f t="shared" si="114"/>
        <v>4.5683215730335156E-4</v>
      </c>
      <c r="FD27" s="135">
        <f t="shared" si="115"/>
        <v>4.5683215730335156E-4</v>
      </c>
      <c r="FE27" s="135">
        <f t="shared" si="116"/>
        <v>4.5683215730335156E-4</v>
      </c>
      <c r="FF27" s="135">
        <f t="shared" si="117"/>
        <v>4.5683215730335156E-4</v>
      </c>
      <c r="FG27" s="135">
        <f t="shared" si="118"/>
        <v>4.5683215730335156E-4</v>
      </c>
      <c r="FH27" s="135">
        <f t="shared" si="119"/>
        <v>4.5683215730335156E-4</v>
      </c>
      <c r="FI27" s="135">
        <f t="shared" si="120"/>
        <v>4.5683215730335156E-4</v>
      </c>
      <c r="FJ27" s="135">
        <f t="shared" si="121"/>
        <v>4.5683215730335156E-4</v>
      </c>
      <c r="FK27" s="137">
        <f t="shared" si="122"/>
        <v>4.5683215730335156E-4</v>
      </c>
      <c r="FM27" s="134">
        <f t="shared" si="63"/>
        <v>25</v>
      </c>
      <c r="FN27" s="164">
        <v>0</v>
      </c>
      <c r="FO27" s="124">
        <f>HLOOKUP(FN27,$AE$2:BW27,FM27+1,0)</f>
        <v>45205</v>
      </c>
      <c r="FP27" s="135">
        <f>HLOOKUP(FN27,$DT$2:FK27,FM27+1,0)</f>
        <v>35683506845</v>
      </c>
      <c r="FQ27" s="180">
        <f t="shared" si="59"/>
        <v>36556265966.258133</v>
      </c>
      <c r="FR27" s="126">
        <f t="shared" si="60"/>
        <v>36584493146.369865</v>
      </c>
      <c r="FS27" s="181">
        <f t="shared" si="61"/>
        <v>28227180.111732483</v>
      </c>
      <c r="FT27" s="165">
        <f t="shared" si="15"/>
        <v>0</v>
      </c>
    </row>
    <row r="28" spans="1:176">
      <c r="A28" s="134" t="s">
        <v>87</v>
      </c>
      <c r="B28" s="121" t="s">
        <v>97</v>
      </c>
      <c r="C28" s="121" t="s">
        <v>97</v>
      </c>
      <c r="D28" s="143" t="s">
        <v>31</v>
      </c>
      <c r="E28" s="135">
        <v>10</v>
      </c>
      <c r="F28" s="135">
        <v>10177534250</v>
      </c>
      <c r="G28" s="135">
        <v>1000000000</v>
      </c>
      <c r="H28" s="135">
        <f t="shared" si="80"/>
        <v>10000000000</v>
      </c>
      <c r="I28" s="136">
        <v>0.108</v>
      </c>
      <c r="J28" s="136"/>
      <c r="K28" s="124">
        <v>45145</v>
      </c>
      <c r="L28" s="124">
        <v>45510</v>
      </c>
      <c r="M28" s="69" t="s">
        <v>161</v>
      </c>
      <c r="N28" s="124">
        <v>45205</v>
      </c>
      <c r="O28" s="124">
        <f t="shared" si="125"/>
        <v>45205</v>
      </c>
      <c r="P28" s="137">
        <f t="shared" si="128"/>
        <v>257424657.53424656</v>
      </c>
      <c r="T28" s="151">
        <f t="shared" si="5"/>
        <v>45145</v>
      </c>
      <c r="U28" s="124">
        <f t="shared" si="6"/>
        <v>45510</v>
      </c>
      <c r="V28" s="128">
        <f t="shared" si="66"/>
        <v>0.108</v>
      </c>
      <c r="W28" s="121" t="s">
        <v>155</v>
      </c>
      <c r="X28" s="121" t="str">
        <f t="shared" si="7"/>
        <v>Cuối kỳ</v>
      </c>
      <c r="Y28" s="121" cm="1">
        <f t="array" ref="Y28">_xlfn.IFS(X28="Quý",3,LEFT(X28,1)="6",6,X28="Năm",12,X28="Cuối kỳ",1)</f>
        <v>1</v>
      </c>
      <c r="Z28" s="124">
        <f t="shared" si="67"/>
        <v>45205</v>
      </c>
      <c r="AA28" s="174">
        <f>H28*I28*($O$1-O28+1)/365</f>
        <v>257424657.53424656</v>
      </c>
      <c r="AB28" s="152">
        <f t="shared" si="123"/>
        <v>1</v>
      </c>
      <c r="AC28" s="126">
        <f t="shared" si="9"/>
        <v>0</v>
      </c>
      <c r="AD28" s="126"/>
      <c r="AE28" s="151">
        <v>45205</v>
      </c>
      <c r="AF28" s="124">
        <v>45510</v>
      </c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4"/>
      <c r="BC28" s="124"/>
      <c r="BW28" s="137">
        <f t="shared" si="75"/>
        <v>0</v>
      </c>
      <c r="BY28" s="160">
        <v>-10177534250</v>
      </c>
      <c r="BZ28" s="126">
        <f>H28+H28*I28*(L28-K28)/365</f>
        <v>11080000000</v>
      </c>
      <c r="DD28" s="152"/>
      <c r="DQ28" s="128">
        <f t="shared" si="11"/>
        <v>-9.7953248023986694E-4</v>
      </c>
      <c r="DR28" s="248">
        <f t="shared" si="12"/>
        <v>0.10702046751976013</v>
      </c>
      <c r="DS28" s="250"/>
      <c r="DT28" s="160">
        <f t="shared" si="13"/>
        <v>10177534250</v>
      </c>
      <c r="DU28" s="135">
        <f t="shared" si="76"/>
        <v>-9.6665096282958984</v>
      </c>
      <c r="DV28" s="135">
        <f t="shared" si="81"/>
        <v>-3.0180429995746243E-5</v>
      </c>
      <c r="DW28" s="135">
        <f t="shared" si="82"/>
        <v>-3.0180429995746243E-5</v>
      </c>
      <c r="DX28" s="135">
        <f t="shared" si="83"/>
        <v>-3.0180429995746243E-5</v>
      </c>
      <c r="DY28" s="135">
        <f t="shared" si="84"/>
        <v>-3.0180429995746243E-5</v>
      </c>
      <c r="DZ28" s="135">
        <f t="shared" si="85"/>
        <v>-3.0180429995746243E-5</v>
      </c>
      <c r="EA28" s="135">
        <f t="shared" si="86"/>
        <v>-3.0180429995746243E-5</v>
      </c>
      <c r="EB28" s="135">
        <f t="shared" si="87"/>
        <v>-3.0180429995746243E-5</v>
      </c>
      <c r="EC28" s="135">
        <f t="shared" si="88"/>
        <v>-3.0180429995746243E-5</v>
      </c>
      <c r="ED28" s="135">
        <f t="shared" si="89"/>
        <v>-3.0180429995746243E-5</v>
      </c>
      <c r="EE28" s="135">
        <f t="shared" si="90"/>
        <v>-3.0180429995746243E-5</v>
      </c>
      <c r="EF28" s="135">
        <f t="shared" si="91"/>
        <v>-3.0180429995746243E-5</v>
      </c>
      <c r="EG28" s="135">
        <f t="shared" si="92"/>
        <v>-3.0180429995746243E-5</v>
      </c>
      <c r="EH28" s="135">
        <f t="shared" si="93"/>
        <v>-3.0180429995746243E-5</v>
      </c>
      <c r="EI28" s="135">
        <f t="shared" si="94"/>
        <v>-3.0180429995746243E-5</v>
      </c>
      <c r="EJ28" s="135">
        <f t="shared" si="95"/>
        <v>-3.0180429995746243E-5</v>
      </c>
      <c r="EK28" s="135">
        <f t="shared" si="96"/>
        <v>-3.0180429995746243E-5</v>
      </c>
      <c r="EL28" s="135">
        <f t="shared" si="97"/>
        <v>-3.0180429995746243E-5</v>
      </c>
      <c r="EM28" s="135">
        <f t="shared" si="98"/>
        <v>-3.0180429995746243E-5</v>
      </c>
      <c r="EN28" s="135">
        <f t="shared" si="99"/>
        <v>-3.0180429995746243E-5</v>
      </c>
      <c r="EO28" s="135">
        <f t="shared" si="100"/>
        <v>-3.0180429995746243E-5</v>
      </c>
      <c r="EP28" s="135">
        <f t="shared" si="101"/>
        <v>-3.0180429995746243E-5</v>
      </c>
      <c r="EQ28" s="135">
        <f t="shared" si="102"/>
        <v>-3.0180429995746243E-5</v>
      </c>
      <c r="ER28" s="135">
        <f t="shared" si="103"/>
        <v>-3.0180429995746243E-5</v>
      </c>
      <c r="ES28" s="135">
        <f t="shared" si="104"/>
        <v>-3.0180429995746243E-5</v>
      </c>
      <c r="ET28" s="135">
        <f t="shared" si="105"/>
        <v>-3.0180429995746243E-5</v>
      </c>
      <c r="EU28" s="135">
        <f t="shared" si="106"/>
        <v>-3.0180429995746243E-5</v>
      </c>
      <c r="EV28" s="135">
        <f t="shared" si="107"/>
        <v>-3.0180429995746243E-5</v>
      </c>
      <c r="EW28" s="135">
        <f t="shared" si="108"/>
        <v>-3.0180429995746243E-5</v>
      </c>
      <c r="EX28" s="135">
        <f t="shared" si="109"/>
        <v>-3.0180429995746243E-5</v>
      </c>
      <c r="EY28" s="135">
        <f t="shared" si="110"/>
        <v>-3.0180429995746243E-5</v>
      </c>
      <c r="EZ28" s="135">
        <f t="shared" si="111"/>
        <v>-3.0180429995746243E-5</v>
      </c>
      <c r="FA28" s="135">
        <f t="shared" si="112"/>
        <v>-3.0180429995746243E-5</v>
      </c>
      <c r="FB28" s="135">
        <f t="shared" si="113"/>
        <v>-3.0180429995746243E-5</v>
      </c>
      <c r="FC28" s="135">
        <f t="shared" si="114"/>
        <v>-3.0180429995746243E-5</v>
      </c>
      <c r="FD28" s="135">
        <f t="shared" si="115"/>
        <v>-3.0180429995746243E-5</v>
      </c>
      <c r="FE28" s="135">
        <f t="shared" si="116"/>
        <v>-3.0180429995746243E-5</v>
      </c>
      <c r="FF28" s="135">
        <f t="shared" si="117"/>
        <v>-3.0180429995746243E-5</v>
      </c>
      <c r="FG28" s="135">
        <f t="shared" si="118"/>
        <v>-3.0180429995746243E-5</v>
      </c>
      <c r="FH28" s="135">
        <f t="shared" si="119"/>
        <v>-3.0180429995746243E-5</v>
      </c>
      <c r="FI28" s="135">
        <f t="shared" si="120"/>
        <v>-3.0180429995746243E-5</v>
      </c>
      <c r="FJ28" s="135">
        <f t="shared" si="121"/>
        <v>-3.0180429995746243E-5</v>
      </c>
      <c r="FK28" s="137">
        <f t="shared" si="122"/>
        <v>-3.0180429995746243E-5</v>
      </c>
      <c r="FM28" s="134">
        <f t="shared" si="63"/>
        <v>26</v>
      </c>
      <c r="FN28" s="164">
        <v>0</v>
      </c>
      <c r="FO28" s="124">
        <f>HLOOKUP(FN28,$AE$2:BW28,FM28+1,0)</f>
        <v>45205</v>
      </c>
      <c r="FP28" s="135">
        <f>HLOOKUP(FN28,$DT$2:FK28,FM28+1,0)</f>
        <v>10177534250</v>
      </c>
      <c r="FQ28" s="180">
        <f t="shared" si="59"/>
        <v>10426459779.858599</v>
      </c>
      <c r="FR28" s="126">
        <f t="shared" si="60"/>
        <v>10434958907.534246</v>
      </c>
      <c r="FS28" s="181">
        <f t="shared" si="61"/>
        <v>8499127.6756477356</v>
      </c>
      <c r="FT28" s="165">
        <f t="shared" si="15"/>
        <v>0</v>
      </c>
    </row>
    <row r="29" spans="1:176" ht="15" thickBot="1">
      <c r="A29" s="144" t="s">
        <v>87</v>
      </c>
      <c r="B29" s="145" t="s">
        <v>95</v>
      </c>
      <c r="C29" s="145" t="s">
        <v>95</v>
      </c>
      <c r="D29" s="146" t="s">
        <v>31</v>
      </c>
      <c r="E29" s="147">
        <v>25000</v>
      </c>
      <c r="F29" s="147">
        <v>25000000000</v>
      </c>
      <c r="G29" s="147">
        <v>1000000</v>
      </c>
      <c r="H29" s="147">
        <f t="shared" si="80"/>
        <v>25000000000</v>
      </c>
      <c r="I29" s="148">
        <v>7.4999999999999997E-2</v>
      </c>
      <c r="J29" s="148"/>
      <c r="K29" s="149">
        <v>45267</v>
      </c>
      <c r="L29" s="149">
        <v>45450</v>
      </c>
      <c r="M29" s="133" t="s">
        <v>161</v>
      </c>
      <c r="N29" s="149">
        <v>45267</v>
      </c>
      <c r="O29" s="149">
        <f t="shared" si="125"/>
        <v>45267</v>
      </c>
      <c r="P29" s="150">
        <f t="shared" si="128"/>
        <v>128424657.53424658</v>
      </c>
      <c r="T29" s="153">
        <f t="shared" si="5"/>
        <v>45267</v>
      </c>
      <c r="U29" s="149">
        <f t="shared" si="6"/>
        <v>45450</v>
      </c>
      <c r="V29" s="154">
        <f t="shared" si="66"/>
        <v>7.4999999999999997E-2</v>
      </c>
      <c r="W29" s="145" t="s">
        <v>155</v>
      </c>
      <c r="X29" s="121" t="str">
        <f t="shared" si="7"/>
        <v>Cuối kỳ</v>
      </c>
      <c r="Y29" s="145" cm="1">
        <f t="array" ref="Y29">_xlfn.IFS(X29="Quý",3,LEFT(X29,1)="6",6,X29="Năm",12,X29="Cuối kỳ",1)</f>
        <v>1</v>
      </c>
      <c r="Z29" s="149">
        <f t="shared" si="67"/>
        <v>45267</v>
      </c>
      <c r="AA29" s="176">
        <f>H29*I29*($O$1-O29+1)/365</f>
        <v>128424657.53424658</v>
      </c>
      <c r="AB29" s="155">
        <f t="shared" si="123"/>
        <v>1</v>
      </c>
      <c r="AC29" s="126">
        <f t="shared" si="9"/>
        <v>0</v>
      </c>
      <c r="AD29" s="126"/>
      <c r="AE29" s="153">
        <v>45267</v>
      </c>
      <c r="AF29" s="149">
        <v>45450</v>
      </c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49"/>
      <c r="AX29" s="149"/>
      <c r="AY29" s="149"/>
      <c r="AZ29" s="149"/>
      <c r="BA29" s="149"/>
      <c r="BB29" s="149"/>
      <c r="BC29" s="149"/>
      <c r="BD29" s="145"/>
      <c r="BE29" s="145"/>
      <c r="BF29" s="145"/>
      <c r="BG29" s="145"/>
      <c r="BH29" s="145"/>
      <c r="BI29" s="14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50">
        <f t="shared" si="75"/>
        <v>0</v>
      </c>
      <c r="BY29" s="162">
        <v>-25000000000</v>
      </c>
      <c r="BZ29" s="163">
        <f>H29+H29*I29*(L29-K29)/365</f>
        <v>25940068493.150684</v>
      </c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  <c r="CT29" s="145"/>
      <c r="CU29" s="145"/>
      <c r="CV29" s="145"/>
      <c r="CW29" s="145"/>
      <c r="CX29" s="145"/>
      <c r="CY29" s="145"/>
      <c r="CZ29" s="145"/>
      <c r="DA29" s="145"/>
      <c r="DB29" s="145"/>
      <c r="DC29" s="145"/>
      <c r="DD29" s="155"/>
      <c r="DQ29" s="128">
        <f t="shared" si="11"/>
        <v>1.4023035764694214E-3</v>
      </c>
      <c r="DR29" s="249">
        <f t="shared" si="12"/>
        <v>7.6402303576469419E-2</v>
      </c>
      <c r="DS29" s="250"/>
      <c r="DT29" s="162">
        <f t="shared" si="13"/>
        <v>25000000000</v>
      </c>
      <c r="DU29" s="147">
        <f t="shared" si="76"/>
        <v>17.837665557861328</v>
      </c>
      <c r="DV29" s="147">
        <f t="shared" si="81"/>
        <v>1.8614055280658729E-3</v>
      </c>
      <c r="DW29" s="147">
        <f t="shared" si="82"/>
        <v>1.8614055280658729E-3</v>
      </c>
      <c r="DX29" s="147">
        <f t="shared" si="83"/>
        <v>1.8614055280658729E-3</v>
      </c>
      <c r="DY29" s="147">
        <f t="shared" si="84"/>
        <v>1.8614055280658729E-3</v>
      </c>
      <c r="DZ29" s="147">
        <f t="shared" si="85"/>
        <v>1.8614055280658729E-3</v>
      </c>
      <c r="EA29" s="147">
        <f t="shared" si="86"/>
        <v>1.8614055280658729E-3</v>
      </c>
      <c r="EB29" s="147">
        <f t="shared" si="87"/>
        <v>1.8614055280658729E-3</v>
      </c>
      <c r="EC29" s="147">
        <f t="shared" si="88"/>
        <v>1.8614055280658729E-3</v>
      </c>
      <c r="ED29" s="147">
        <f t="shared" si="89"/>
        <v>1.8614055280658729E-3</v>
      </c>
      <c r="EE29" s="147">
        <f t="shared" si="90"/>
        <v>1.8614055280658729E-3</v>
      </c>
      <c r="EF29" s="147">
        <f t="shared" si="91"/>
        <v>1.8614055280658729E-3</v>
      </c>
      <c r="EG29" s="147">
        <f t="shared" si="92"/>
        <v>1.8614055280658729E-3</v>
      </c>
      <c r="EH29" s="147">
        <f t="shared" si="93"/>
        <v>1.8614055280658729E-3</v>
      </c>
      <c r="EI29" s="147">
        <f t="shared" si="94"/>
        <v>1.8614055280658729E-3</v>
      </c>
      <c r="EJ29" s="147">
        <f t="shared" si="95"/>
        <v>1.8614055280658729E-3</v>
      </c>
      <c r="EK29" s="147">
        <f t="shared" si="96"/>
        <v>1.8614055280658729E-3</v>
      </c>
      <c r="EL29" s="147">
        <f t="shared" si="97"/>
        <v>1.8614055280658729E-3</v>
      </c>
      <c r="EM29" s="147">
        <f t="shared" si="98"/>
        <v>1.8614055280658729E-3</v>
      </c>
      <c r="EN29" s="147">
        <f t="shared" si="99"/>
        <v>1.8614055280658729E-3</v>
      </c>
      <c r="EO29" s="147">
        <f t="shared" si="100"/>
        <v>1.8614055280658729E-3</v>
      </c>
      <c r="EP29" s="147">
        <f t="shared" si="101"/>
        <v>1.8614055280658729E-3</v>
      </c>
      <c r="EQ29" s="147">
        <f t="shared" si="102"/>
        <v>1.8614055280658729E-3</v>
      </c>
      <c r="ER29" s="147">
        <f t="shared" si="103"/>
        <v>1.8614055280658729E-3</v>
      </c>
      <c r="ES29" s="147">
        <f t="shared" si="104"/>
        <v>1.8614055280658729E-3</v>
      </c>
      <c r="ET29" s="147">
        <f t="shared" si="105"/>
        <v>1.8614055280658729E-3</v>
      </c>
      <c r="EU29" s="147">
        <f t="shared" si="106"/>
        <v>1.8614055280658729E-3</v>
      </c>
      <c r="EV29" s="147">
        <f t="shared" si="107"/>
        <v>1.8614055280658729E-3</v>
      </c>
      <c r="EW29" s="147">
        <f t="shared" si="108"/>
        <v>1.8614055280658729E-3</v>
      </c>
      <c r="EX29" s="147">
        <f t="shared" si="109"/>
        <v>1.8614055280658729E-3</v>
      </c>
      <c r="EY29" s="147">
        <f t="shared" si="110"/>
        <v>1.8614055280658729E-3</v>
      </c>
      <c r="EZ29" s="147">
        <f t="shared" si="111"/>
        <v>1.8614055280658729E-3</v>
      </c>
      <c r="FA29" s="147">
        <f t="shared" si="112"/>
        <v>1.8614055280658729E-3</v>
      </c>
      <c r="FB29" s="147">
        <f t="shared" si="113"/>
        <v>1.8614055280658729E-3</v>
      </c>
      <c r="FC29" s="147">
        <f t="shared" si="114"/>
        <v>1.8614055280658729E-3</v>
      </c>
      <c r="FD29" s="147">
        <f t="shared" si="115"/>
        <v>1.8614055280658729E-3</v>
      </c>
      <c r="FE29" s="147">
        <f t="shared" si="116"/>
        <v>1.8614055280658729E-3</v>
      </c>
      <c r="FF29" s="147">
        <f t="shared" si="117"/>
        <v>1.8614055280658729E-3</v>
      </c>
      <c r="FG29" s="147">
        <f t="shared" si="118"/>
        <v>1.8614055280658729E-3</v>
      </c>
      <c r="FH29" s="147">
        <f t="shared" si="119"/>
        <v>1.8614055280658729E-3</v>
      </c>
      <c r="FI29" s="147">
        <f t="shared" si="120"/>
        <v>1.8614055280658729E-3</v>
      </c>
      <c r="FJ29" s="147">
        <f t="shared" si="121"/>
        <v>1.8614055280658729E-3</v>
      </c>
      <c r="FK29" s="150">
        <f t="shared" si="122"/>
        <v>1.8614055280658729E-3</v>
      </c>
      <c r="FM29" s="134">
        <f t="shared" si="63"/>
        <v>27</v>
      </c>
      <c r="FN29" s="167">
        <v>0</v>
      </c>
      <c r="FO29" s="149">
        <f>HLOOKUP(FN29,$AE$2:BW29,FM29+1,0)</f>
        <v>45267</v>
      </c>
      <c r="FP29" s="147">
        <f>HLOOKUP(FN29,$DT$2:FK29,FM29+1,0)</f>
        <v>25000000000</v>
      </c>
      <c r="FQ29" s="184">
        <f t="shared" si="59"/>
        <v>25119166392.57885</v>
      </c>
      <c r="FR29" s="185">
        <f t="shared" si="60"/>
        <v>25128424657.534248</v>
      </c>
      <c r="FS29" s="186">
        <f t="shared" si="61"/>
        <v>9258264.9553985596</v>
      </c>
      <c r="FT29" s="168">
        <f t="shared" si="15"/>
        <v>0</v>
      </c>
    </row>
    <row r="30" spans="1:176">
      <c r="F30" s="126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</row>
    <row r="31" spans="1:176">
      <c r="E31" s="125"/>
      <c r="F31" s="126"/>
    </row>
    <row r="32" spans="1:176">
      <c r="E32" s="125"/>
      <c r="F32" s="125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1D648-56E5-4C95-B9F4-95E6BD393E40}">
  <dimension ref="A1:B76"/>
  <sheetViews>
    <sheetView topLeftCell="A49" workbookViewId="0">
      <selection activeCell="B71" sqref="B71"/>
    </sheetView>
  </sheetViews>
  <sheetFormatPr defaultRowHeight="14.5"/>
  <cols>
    <col min="1" max="1" width="10.453125" bestFit="1" customWidth="1"/>
  </cols>
  <sheetData>
    <row r="1" spans="1:2" ht="15" thickBot="1">
      <c r="A1" t="s">
        <v>170</v>
      </c>
      <c r="B1" t="s">
        <v>171</v>
      </c>
    </row>
    <row r="2" spans="1:2" ht="15" thickBot="1">
      <c r="A2" s="312">
        <v>45291</v>
      </c>
      <c r="B2" s="314"/>
    </row>
    <row r="3" spans="1:2" ht="15" thickBot="1">
      <c r="A3" s="308">
        <v>45364</v>
      </c>
      <c r="B3" s="310">
        <v>102616</v>
      </c>
    </row>
    <row r="4" spans="1:2" ht="15" thickBot="1">
      <c r="A4" s="309">
        <v>45365</v>
      </c>
      <c r="B4" s="311">
        <v>102616</v>
      </c>
    </row>
    <row r="5" spans="1:2" ht="15" thickBot="1">
      <c r="A5" s="308">
        <v>45366</v>
      </c>
      <c r="B5" s="310">
        <v>102965</v>
      </c>
    </row>
    <row r="6" spans="1:2" ht="15" thickBot="1">
      <c r="A6" s="308">
        <v>45367</v>
      </c>
      <c r="B6" s="310">
        <v>102965</v>
      </c>
    </row>
    <row r="7" spans="1:2" ht="15" thickBot="1">
      <c r="A7" s="308">
        <v>45368</v>
      </c>
      <c r="B7" s="310">
        <v>102965</v>
      </c>
    </row>
    <row r="8" spans="1:2" ht="15" thickBot="1">
      <c r="A8" s="309">
        <v>45369</v>
      </c>
      <c r="B8" s="311">
        <v>102965</v>
      </c>
    </row>
    <row r="9" spans="1:2" ht="15" thickBot="1">
      <c r="A9" s="308">
        <v>45370</v>
      </c>
      <c r="B9" s="310">
        <v>102965</v>
      </c>
    </row>
    <row r="10" spans="1:2" ht="15" thickBot="1">
      <c r="A10" s="309">
        <v>45371</v>
      </c>
      <c r="B10" s="311">
        <v>102965</v>
      </c>
    </row>
    <row r="11" spans="1:2" ht="15" thickBot="1">
      <c r="A11" s="308">
        <v>45372</v>
      </c>
      <c r="B11" s="310">
        <v>102965</v>
      </c>
    </row>
    <row r="12" spans="1:2" ht="15" thickBot="1">
      <c r="A12" s="309">
        <v>45373</v>
      </c>
      <c r="B12" s="311">
        <v>102965</v>
      </c>
    </row>
    <row r="13" spans="1:2" ht="15" thickBot="1">
      <c r="A13" s="309">
        <v>45374</v>
      </c>
      <c r="B13" s="311">
        <v>102965</v>
      </c>
    </row>
    <row r="14" spans="1:2" ht="15" thickBot="1">
      <c r="A14" s="309">
        <v>45375</v>
      </c>
      <c r="B14" s="311">
        <v>102965</v>
      </c>
    </row>
    <row r="15" spans="1:2" ht="15" thickBot="1">
      <c r="A15" s="308">
        <v>45376</v>
      </c>
      <c r="B15" s="310">
        <v>102965</v>
      </c>
    </row>
    <row r="16" spans="1:2" ht="15" thickBot="1">
      <c r="A16" s="309">
        <v>45377</v>
      </c>
      <c r="B16" s="311">
        <v>102965</v>
      </c>
    </row>
    <row r="17" spans="1:2" ht="15" thickBot="1">
      <c r="A17" s="308">
        <v>45378</v>
      </c>
      <c r="B17" s="310">
        <v>102965</v>
      </c>
    </row>
    <row r="18" spans="1:2" ht="15" thickBot="1">
      <c r="A18" s="309">
        <v>45379</v>
      </c>
      <c r="B18" s="311">
        <v>103242</v>
      </c>
    </row>
    <row r="19" spans="1:2" ht="15" thickBot="1">
      <c r="A19" s="308">
        <v>45380</v>
      </c>
      <c r="B19" s="310">
        <v>103242</v>
      </c>
    </row>
    <row r="20" spans="1:2" ht="15" thickBot="1">
      <c r="A20" s="308">
        <v>45381</v>
      </c>
      <c r="B20" s="310">
        <v>103242</v>
      </c>
    </row>
    <row r="21" spans="1:2" ht="15" thickBot="1">
      <c r="A21" s="308">
        <v>45382</v>
      </c>
      <c r="B21" s="310">
        <v>103242</v>
      </c>
    </row>
    <row r="22" spans="1:2" ht="15" thickBot="1">
      <c r="A22" s="309">
        <v>45383</v>
      </c>
      <c r="B22" s="310">
        <v>103242</v>
      </c>
    </row>
    <row r="23" spans="1:2" ht="15" thickBot="1">
      <c r="A23" s="308">
        <v>45384</v>
      </c>
      <c r="B23" s="310">
        <v>103242</v>
      </c>
    </row>
    <row r="24" spans="1:2" ht="15" thickBot="1">
      <c r="A24" s="309">
        <v>45385</v>
      </c>
      <c r="B24" s="311">
        <v>103242</v>
      </c>
    </row>
    <row r="25" spans="1:2" ht="15" thickBot="1">
      <c r="A25" s="308">
        <v>45386</v>
      </c>
      <c r="B25" s="310">
        <v>103242</v>
      </c>
    </row>
    <row r="26" spans="1:2" ht="15" thickBot="1">
      <c r="A26" s="309">
        <v>45387</v>
      </c>
      <c r="B26" s="311">
        <v>103242</v>
      </c>
    </row>
    <row r="27" spans="1:2" ht="15" thickBot="1">
      <c r="A27" s="309">
        <v>45388</v>
      </c>
      <c r="B27" s="311">
        <v>103242</v>
      </c>
    </row>
    <row r="28" spans="1:2" ht="15" thickBot="1">
      <c r="A28" s="309">
        <v>45389</v>
      </c>
      <c r="B28" s="311">
        <v>103242</v>
      </c>
    </row>
    <row r="29" spans="1:2" ht="15" thickBot="1">
      <c r="A29" s="308">
        <v>45390</v>
      </c>
      <c r="B29" s="310">
        <v>103242</v>
      </c>
    </row>
    <row r="30" spans="1:2" ht="15" thickBot="1">
      <c r="A30" s="309">
        <v>45391</v>
      </c>
      <c r="B30" s="311">
        <v>103242</v>
      </c>
    </row>
    <row r="31" spans="1:2" ht="15" thickBot="1">
      <c r="A31" s="308">
        <v>45392</v>
      </c>
      <c r="B31" s="310">
        <v>103242</v>
      </c>
    </row>
    <row r="32" spans="1:2" ht="15" thickBot="1">
      <c r="A32" s="309">
        <v>45393</v>
      </c>
      <c r="B32" s="311">
        <v>103242</v>
      </c>
    </row>
    <row r="33" spans="1:2" ht="15" thickBot="1">
      <c r="A33" s="308">
        <v>45394</v>
      </c>
      <c r="B33" s="310">
        <v>103242</v>
      </c>
    </row>
    <row r="34" spans="1:2" ht="15" thickBot="1">
      <c r="A34" s="308">
        <v>45395</v>
      </c>
      <c r="B34" s="310">
        <v>103242</v>
      </c>
    </row>
    <row r="35" spans="1:2" ht="15" thickBot="1">
      <c r="A35" s="308">
        <v>45396</v>
      </c>
      <c r="B35" s="310">
        <v>103242</v>
      </c>
    </row>
    <row r="36" spans="1:2" ht="15" thickBot="1">
      <c r="A36" s="309">
        <v>45397</v>
      </c>
      <c r="B36" s="311">
        <v>103242</v>
      </c>
    </row>
    <row r="37" spans="1:2" ht="15" thickBot="1">
      <c r="A37" s="308">
        <v>45398</v>
      </c>
      <c r="B37" s="310">
        <v>103242</v>
      </c>
    </row>
    <row r="38" spans="1:2" ht="15" thickBot="1">
      <c r="A38" s="309">
        <v>45399</v>
      </c>
      <c r="B38" s="311">
        <v>102642</v>
      </c>
    </row>
    <row r="39" spans="1:2" ht="15" thickBot="1">
      <c r="A39" s="309">
        <v>45400</v>
      </c>
      <c r="B39" s="311">
        <v>102642</v>
      </c>
    </row>
    <row r="40" spans="1:2" ht="15" thickBot="1">
      <c r="A40" s="308">
        <v>45401</v>
      </c>
      <c r="B40" s="310">
        <v>102642</v>
      </c>
    </row>
    <row r="41" spans="1:2" ht="15" thickBot="1">
      <c r="A41" s="309">
        <v>45404</v>
      </c>
      <c r="B41" s="311">
        <v>102642</v>
      </c>
    </row>
    <row r="42" spans="1:2" ht="15" thickBot="1">
      <c r="A42" s="308">
        <v>45405</v>
      </c>
      <c r="B42" s="310">
        <v>102642</v>
      </c>
    </row>
    <row r="43" spans="1:2" ht="15" thickBot="1">
      <c r="A43" s="309">
        <v>45406</v>
      </c>
      <c r="B43" s="311">
        <v>102642</v>
      </c>
    </row>
    <row r="44" spans="1:2" ht="15" thickBot="1">
      <c r="A44" s="308">
        <v>45407</v>
      </c>
      <c r="B44" s="310">
        <v>102642</v>
      </c>
    </row>
    <row r="45" spans="1:2" ht="15" thickBot="1">
      <c r="A45" s="309">
        <v>45408</v>
      </c>
      <c r="B45" s="311">
        <v>102642</v>
      </c>
    </row>
    <row r="46" spans="1:2" ht="15" thickBot="1">
      <c r="A46" s="308">
        <v>45414</v>
      </c>
      <c r="B46" s="310">
        <v>102642</v>
      </c>
    </row>
    <row r="47" spans="1:2" ht="15" thickBot="1">
      <c r="A47" s="309">
        <v>45415</v>
      </c>
      <c r="B47" s="311">
        <v>102642</v>
      </c>
    </row>
    <row r="48" spans="1:2" ht="15" thickBot="1">
      <c r="A48" s="308">
        <v>45418</v>
      </c>
      <c r="B48" s="310">
        <v>102642</v>
      </c>
    </row>
    <row r="49" spans="1:2" ht="15" thickBot="1">
      <c r="A49" s="309">
        <v>45419</v>
      </c>
      <c r="B49" s="311">
        <v>104261</v>
      </c>
    </row>
    <row r="50" spans="1:2" ht="15" thickBot="1">
      <c r="A50" s="308">
        <v>45420</v>
      </c>
      <c r="B50" s="310">
        <v>104261</v>
      </c>
    </row>
    <row r="51" spans="1:2" ht="15" thickBot="1">
      <c r="A51" s="309">
        <v>45421</v>
      </c>
      <c r="B51" s="311">
        <v>104261</v>
      </c>
    </row>
    <row r="52" spans="1:2" ht="15" thickBot="1">
      <c r="A52" s="308">
        <v>45422</v>
      </c>
      <c r="B52" s="310">
        <v>104261</v>
      </c>
    </row>
    <row r="53" spans="1:2" ht="15" thickBot="1">
      <c r="A53" s="309">
        <v>45425</v>
      </c>
      <c r="B53" s="311">
        <v>101951</v>
      </c>
    </row>
    <row r="54" spans="1:2" ht="15" thickBot="1">
      <c r="A54" s="308">
        <v>45426</v>
      </c>
      <c r="B54" s="310" t="s">
        <v>172</v>
      </c>
    </row>
    <row r="55" spans="1:2" ht="15" thickBot="1">
      <c r="A55" s="309">
        <v>45427</v>
      </c>
      <c r="B55" s="311" t="s">
        <v>172</v>
      </c>
    </row>
    <row r="56" spans="1:2" ht="15" thickBot="1">
      <c r="A56" s="308">
        <v>45428</v>
      </c>
      <c r="B56" s="310">
        <v>102025</v>
      </c>
    </row>
    <row r="57" spans="1:2" ht="15" thickBot="1">
      <c r="A57" s="309">
        <v>45429</v>
      </c>
      <c r="B57" s="311">
        <v>102025</v>
      </c>
    </row>
    <row r="58" spans="1:2" ht="15" thickBot="1">
      <c r="A58" s="308">
        <v>45432</v>
      </c>
      <c r="B58" s="310">
        <v>102025</v>
      </c>
    </row>
    <row r="59" spans="1:2" ht="15" thickBot="1">
      <c r="A59" s="309">
        <v>45433</v>
      </c>
      <c r="B59" s="311">
        <v>102146</v>
      </c>
    </row>
    <row r="60" spans="1:2" ht="15" thickBot="1">
      <c r="A60" s="308">
        <v>45434</v>
      </c>
      <c r="B60" s="310">
        <v>102171</v>
      </c>
    </row>
    <row r="61" spans="1:2" ht="15" thickBot="1">
      <c r="A61" s="309">
        <v>45435</v>
      </c>
      <c r="B61" s="311">
        <v>102195</v>
      </c>
    </row>
    <row r="62" spans="1:2" ht="15" thickBot="1">
      <c r="A62" s="308">
        <v>45436</v>
      </c>
      <c r="B62" s="310">
        <v>105000</v>
      </c>
    </row>
    <row r="63" spans="1:2" ht="15" thickBot="1">
      <c r="A63" s="309">
        <v>45439</v>
      </c>
      <c r="B63" s="311">
        <v>102010</v>
      </c>
    </row>
    <row r="64" spans="1:2" ht="15" thickBot="1">
      <c r="A64" s="308">
        <v>45440</v>
      </c>
      <c r="B64" s="311">
        <v>102010</v>
      </c>
    </row>
    <row r="65" spans="1:2" ht="15" thickBot="1">
      <c r="A65" s="309">
        <v>45441</v>
      </c>
      <c r="B65" s="311">
        <v>102010</v>
      </c>
    </row>
    <row r="66" spans="1:2" ht="15" thickBot="1">
      <c r="A66" s="308">
        <v>45442</v>
      </c>
      <c r="B66" s="311">
        <v>102010</v>
      </c>
    </row>
    <row r="67" spans="1:2" ht="15" thickBot="1">
      <c r="A67" s="309">
        <v>45443</v>
      </c>
      <c r="B67" s="311">
        <v>102010</v>
      </c>
    </row>
    <row r="68" spans="1:2" ht="15" thickBot="1">
      <c r="A68" s="308">
        <v>45446</v>
      </c>
      <c r="B68" s="311">
        <v>102010</v>
      </c>
    </row>
    <row r="69" spans="1:2" ht="15" thickBot="1">
      <c r="A69" s="309">
        <v>45447</v>
      </c>
      <c r="B69" s="310">
        <v>105000</v>
      </c>
    </row>
    <row r="70" spans="1:2" ht="15" thickBot="1">
      <c r="A70" s="308">
        <v>45448</v>
      </c>
      <c r="B70" s="310">
        <v>102511</v>
      </c>
    </row>
    <row r="71" spans="1:2" ht="15" thickBot="1">
      <c r="A71" s="309">
        <v>45449</v>
      </c>
      <c r="B71" s="310">
        <v>105000</v>
      </c>
    </row>
    <row r="72" spans="1:2" ht="15" thickBot="1">
      <c r="A72" s="308">
        <v>45450</v>
      </c>
      <c r="B72" s="310">
        <v>102608</v>
      </c>
    </row>
    <row r="73" spans="1:2" ht="15" thickBot="1">
      <c r="A73" s="309">
        <v>45453</v>
      </c>
      <c r="B73" s="311">
        <v>102989</v>
      </c>
    </row>
    <row r="74" spans="1:2" ht="15" thickBot="1">
      <c r="A74" s="308">
        <v>45454</v>
      </c>
      <c r="B74" s="310">
        <v>102989</v>
      </c>
    </row>
    <row r="75" spans="1:2" ht="15" thickBot="1">
      <c r="A75" s="309">
        <v>45455</v>
      </c>
      <c r="B75" s="311">
        <v>102682</v>
      </c>
    </row>
    <row r="76" spans="1:2">
      <c r="A76" s="313">
        <v>45456</v>
      </c>
      <c r="B76" s="315">
        <v>102682</v>
      </c>
    </row>
  </sheetData>
  <autoFilter ref="A1:B1" xr:uid="{7211D648-56E5-4C95-B9F4-95E6BD393E40}">
    <sortState xmlns:xlrd2="http://schemas.microsoft.com/office/spreadsheetml/2017/richdata2" ref="A2:B65">
      <sortCondition ref="A1"/>
    </sortState>
  </autoFilter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0D28-5082-453F-B32A-D97E18F1F6F6}">
  <dimension ref="AB38:AJ49"/>
  <sheetViews>
    <sheetView topLeftCell="A2" zoomScale="40" zoomScaleNormal="40" workbookViewId="0">
      <selection activeCell="B71" sqref="B71"/>
    </sheetView>
  </sheetViews>
  <sheetFormatPr defaultRowHeight="14.5"/>
  <cols>
    <col min="28" max="28" width="14" bestFit="1" customWidth="1"/>
    <col min="30" max="30" width="11.7265625" bestFit="1" customWidth="1"/>
  </cols>
  <sheetData>
    <row r="38" spans="28:36">
      <c r="AJ38">
        <f>(5.3*3+4.8)/4+4</f>
        <v>9.1750000000000007</v>
      </c>
    </row>
    <row r="42" spans="28:36">
      <c r="AB42">
        <v>79421</v>
      </c>
      <c r="AC42" s="305">
        <v>0.15</v>
      </c>
      <c r="AD42" s="11">
        <f>AB42*AC42</f>
        <v>11913.15</v>
      </c>
    </row>
    <row r="43" spans="28:36">
      <c r="AB43">
        <v>678734</v>
      </c>
      <c r="AC43">
        <v>5.8499999999999996E-2</v>
      </c>
      <c r="AD43" s="11">
        <f t="shared" ref="AD43:AD48" si="0">AB43*AC43</f>
        <v>39705.938999999998</v>
      </c>
    </row>
    <row r="44" spans="28:36">
      <c r="AB44">
        <v>550000</v>
      </c>
      <c r="AC44">
        <v>0.11800000000000001</v>
      </c>
      <c r="AD44" s="11">
        <f t="shared" si="0"/>
        <v>64900.000000000007</v>
      </c>
    </row>
    <row r="45" spans="28:36">
      <c r="AB45">
        <v>411287</v>
      </c>
      <c r="AC45">
        <v>8.4749999999999992E-2</v>
      </c>
      <c r="AD45" s="11">
        <f t="shared" si="0"/>
        <v>34856.573249999994</v>
      </c>
    </row>
    <row r="46" spans="28:36">
      <c r="AB46">
        <v>164375</v>
      </c>
      <c r="AC46" s="306">
        <v>9.7000000000000003E-2</v>
      </c>
      <c r="AD46" s="11">
        <f t="shared" si="0"/>
        <v>15944.375</v>
      </c>
    </row>
    <row r="47" spans="28:36">
      <c r="AB47">
        <v>58291</v>
      </c>
      <c r="AC47" s="306">
        <v>5.5E-2</v>
      </c>
      <c r="AD47" s="11">
        <f t="shared" si="0"/>
        <v>3206.0050000000001</v>
      </c>
    </row>
    <row r="48" spans="28:36">
      <c r="AB48">
        <v>409385</v>
      </c>
      <c r="AC48">
        <v>9.4E-2</v>
      </c>
      <c r="AD48" s="11">
        <f t="shared" si="0"/>
        <v>38482.19</v>
      </c>
      <c r="AE48">
        <f>SUM(AD42:AD48)/AB49</f>
        <v>8.8883204096291163E-2</v>
      </c>
    </row>
    <row r="49" spans="28:28">
      <c r="AB49" s="11">
        <f>SUM(AB42:AB48)</f>
        <v>2351493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C0D4-E73D-4D88-BBE9-02DD5F49E6E0}">
  <sheetPr codeName="Sheet10" filterMode="1"/>
  <dimension ref="A1:N248"/>
  <sheetViews>
    <sheetView workbookViewId="0">
      <selection activeCell="F212" sqref="F212"/>
    </sheetView>
  </sheetViews>
  <sheetFormatPr defaultRowHeight="14.5"/>
  <cols>
    <col min="5" max="5" width="15.1796875" bestFit="1" customWidth="1"/>
    <col min="6" max="6" width="23.81640625" bestFit="1" customWidth="1"/>
    <col min="7" max="7" width="15.1796875" bestFit="1" customWidth="1"/>
    <col min="9" max="9" width="15.1796875" bestFit="1" customWidth="1"/>
    <col min="10" max="10" width="16.1796875" bestFit="1" customWidth="1"/>
    <col min="11" max="11" width="10.1796875" bestFit="1" customWidth="1"/>
    <col min="12" max="12" width="14.81640625" bestFit="1" customWidth="1"/>
    <col min="13" max="13" width="14.453125" bestFit="1" customWidth="1"/>
  </cols>
  <sheetData>
    <row r="1" spans="1:14">
      <c r="A1" s="77" t="s">
        <v>173</v>
      </c>
      <c r="B1" s="77" t="s">
        <v>174</v>
      </c>
      <c r="C1" s="77" t="s">
        <v>137</v>
      </c>
      <c r="D1" s="77" t="s">
        <v>175</v>
      </c>
      <c r="E1" s="77" t="s">
        <v>0</v>
      </c>
      <c r="F1" s="77" t="s">
        <v>176</v>
      </c>
      <c r="G1" s="77" t="s">
        <v>177</v>
      </c>
      <c r="H1" s="77" t="s">
        <v>178</v>
      </c>
      <c r="I1" s="77" t="s">
        <v>179</v>
      </c>
      <c r="J1" s="78" t="s">
        <v>180</v>
      </c>
      <c r="K1" s="79" t="s">
        <v>181</v>
      </c>
      <c r="L1" s="79" t="s">
        <v>182</v>
      </c>
      <c r="M1" s="79" t="s">
        <v>183</v>
      </c>
      <c r="N1" s="79" t="s">
        <v>184</v>
      </c>
    </row>
    <row r="2" spans="1:14" hidden="1">
      <c r="A2" s="80">
        <v>1.2022999999999999</v>
      </c>
      <c r="B2" s="81" t="s">
        <v>185</v>
      </c>
      <c r="C2" s="82">
        <v>44929</v>
      </c>
      <c r="D2" s="83" t="s">
        <v>186</v>
      </c>
      <c r="E2" s="83" t="s">
        <v>187</v>
      </c>
      <c r="F2" s="83" t="s">
        <v>187</v>
      </c>
      <c r="G2" s="106">
        <v>-5000000000</v>
      </c>
      <c r="H2" s="84">
        <v>-1</v>
      </c>
      <c r="I2" s="112">
        <v>-5027123288</v>
      </c>
      <c r="J2" s="110">
        <v>10020547946</v>
      </c>
      <c r="K2" s="85">
        <v>2</v>
      </c>
      <c r="L2" s="110">
        <v>5010273973</v>
      </c>
      <c r="M2" s="110">
        <v>16849315</v>
      </c>
      <c r="N2" s="85">
        <f>COUNTIF($F$1:F1,F1)</f>
        <v>1</v>
      </c>
    </row>
    <row r="3" spans="1:14" hidden="1">
      <c r="A3" s="80">
        <v>1.2022999999999999</v>
      </c>
      <c r="B3" s="81" t="s">
        <v>185</v>
      </c>
      <c r="C3" s="82">
        <v>44929</v>
      </c>
      <c r="D3" s="83" t="s">
        <v>188</v>
      </c>
      <c r="E3" s="83" t="s">
        <v>187</v>
      </c>
      <c r="F3" s="83" t="s">
        <v>187</v>
      </c>
      <c r="G3" s="106">
        <v>-5000000000</v>
      </c>
      <c r="H3" s="84">
        <v>-1</v>
      </c>
      <c r="I3" s="112">
        <v>-5027123288</v>
      </c>
      <c r="J3" s="110">
        <v>5010273973</v>
      </c>
      <c r="K3" s="85">
        <v>1</v>
      </c>
      <c r="L3" s="110">
        <v>5010273973</v>
      </c>
      <c r="M3" s="110">
        <v>16849315</v>
      </c>
      <c r="N3" s="85">
        <f>COUNTIF($F$1:F2,F2)</f>
        <v>1</v>
      </c>
    </row>
    <row r="4" spans="1:14" hidden="1">
      <c r="A4" s="80">
        <v>1.2022999999999999</v>
      </c>
      <c r="B4" s="81" t="s">
        <v>185</v>
      </c>
      <c r="C4" s="82">
        <v>44929</v>
      </c>
      <c r="D4" s="83" t="s">
        <v>189</v>
      </c>
      <c r="E4" s="83" t="s">
        <v>187</v>
      </c>
      <c r="F4" s="83" t="s">
        <v>187</v>
      </c>
      <c r="G4" s="106">
        <v>-5000000000</v>
      </c>
      <c r="H4" s="84">
        <v>-1</v>
      </c>
      <c r="I4" s="112">
        <v>-5027123288</v>
      </c>
      <c r="J4" s="110">
        <v>0</v>
      </c>
      <c r="K4" s="85">
        <v>0</v>
      </c>
      <c r="L4" s="110">
        <v>5010273973</v>
      </c>
      <c r="M4" s="110">
        <v>16849315</v>
      </c>
      <c r="N4" s="85">
        <f>COUNTIF($F$1:F3,F3)</f>
        <v>2</v>
      </c>
    </row>
    <row r="5" spans="1:14" hidden="1">
      <c r="A5" s="80">
        <v>1.2022999999999999</v>
      </c>
      <c r="B5" s="81" t="s">
        <v>190</v>
      </c>
      <c r="C5" s="82">
        <v>44930</v>
      </c>
      <c r="D5" s="83"/>
      <c r="E5" s="83" t="s">
        <v>191</v>
      </c>
      <c r="F5" s="83" t="s">
        <v>192</v>
      </c>
      <c r="G5" s="106">
        <v>10000000000</v>
      </c>
      <c r="H5" s="84">
        <v>1</v>
      </c>
      <c r="I5" s="112">
        <v>10063561644</v>
      </c>
      <c r="J5" s="110">
        <v>10063561644</v>
      </c>
      <c r="K5" s="85">
        <v>1</v>
      </c>
      <c r="L5" s="110">
        <v>10063561644</v>
      </c>
      <c r="M5" s="110">
        <v>0</v>
      </c>
      <c r="N5" s="85">
        <f>COUNTIF($F$1:F4,F4)</f>
        <v>3</v>
      </c>
    </row>
    <row r="6" spans="1:14" hidden="1">
      <c r="A6" s="80">
        <v>1.2022999999999999</v>
      </c>
      <c r="B6" s="81" t="s">
        <v>190</v>
      </c>
      <c r="C6" s="82">
        <v>44930</v>
      </c>
      <c r="D6" s="83"/>
      <c r="E6" s="83" t="s">
        <v>191</v>
      </c>
      <c r="F6" s="83" t="s">
        <v>193</v>
      </c>
      <c r="G6" s="106">
        <v>10000000000</v>
      </c>
      <c r="H6" s="84">
        <v>1</v>
      </c>
      <c r="I6" s="112">
        <v>10063561644</v>
      </c>
      <c r="J6" s="110">
        <v>10063561644</v>
      </c>
      <c r="K6" s="85">
        <v>1</v>
      </c>
      <c r="L6" s="110">
        <v>10063561644</v>
      </c>
      <c r="M6" s="110">
        <v>0</v>
      </c>
      <c r="N6" s="85">
        <f>COUNTIF($F$1:F5,F5)</f>
        <v>1</v>
      </c>
    </row>
    <row r="7" spans="1:14" hidden="1">
      <c r="A7" s="80">
        <v>1.2022999999999999</v>
      </c>
      <c r="B7" s="81" t="s">
        <v>190</v>
      </c>
      <c r="C7" s="82">
        <v>44930</v>
      </c>
      <c r="D7" s="83"/>
      <c r="E7" s="83" t="s">
        <v>191</v>
      </c>
      <c r="F7" s="83" t="s">
        <v>194</v>
      </c>
      <c r="G7" s="106">
        <v>10000000000</v>
      </c>
      <c r="H7" s="84">
        <v>1</v>
      </c>
      <c r="I7" s="112">
        <v>10063561644</v>
      </c>
      <c r="J7" s="110">
        <v>10063561644</v>
      </c>
      <c r="K7" s="85">
        <v>1</v>
      </c>
      <c r="L7" s="110">
        <v>10063561644</v>
      </c>
      <c r="M7" s="110">
        <v>0</v>
      </c>
      <c r="N7" s="85">
        <f>COUNTIF($F$1:F6,F6)</f>
        <v>1</v>
      </c>
    </row>
    <row r="8" spans="1:14" hidden="1">
      <c r="A8" s="80">
        <v>1.2022999999999999</v>
      </c>
      <c r="B8" s="81" t="s">
        <v>195</v>
      </c>
      <c r="C8" s="82">
        <v>44935</v>
      </c>
      <c r="D8" s="83" t="s">
        <v>196</v>
      </c>
      <c r="E8" s="83" t="s">
        <v>197</v>
      </c>
      <c r="F8" s="83" t="s">
        <v>197</v>
      </c>
      <c r="G8" s="106">
        <v>-43000000000</v>
      </c>
      <c r="H8" s="84">
        <v>-1</v>
      </c>
      <c r="I8" s="112">
        <v>-43226191781</v>
      </c>
      <c r="J8" s="110">
        <v>78400000000</v>
      </c>
      <c r="K8" s="85">
        <v>4</v>
      </c>
      <c r="L8" s="110">
        <v>19600000000</v>
      </c>
      <c r="M8" s="110">
        <v>23626191781</v>
      </c>
      <c r="N8" s="85">
        <f>COUNTIF($F$1:F7,F7)</f>
        <v>1</v>
      </c>
    </row>
    <row r="9" spans="1:14" hidden="1">
      <c r="A9" s="80">
        <v>1.2022999999999999</v>
      </c>
      <c r="B9" s="81" t="s">
        <v>195</v>
      </c>
      <c r="C9" s="82">
        <v>44935</v>
      </c>
      <c r="D9" s="83" t="s">
        <v>198</v>
      </c>
      <c r="E9" s="83" t="s">
        <v>197</v>
      </c>
      <c r="F9" s="83" t="s">
        <v>197</v>
      </c>
      <c r="G9" s="106">
        <v>-15000000000</v>
      </c>
      <c r="H9" s="84">
        <v>-1</v>
      </c>
      <c r="I9" s="112">
        <v>-15076438356</v>
      </c>
      <c r="J9" s="110">
        <v>58800000000</v>
      </c>
      <c r="K9" s="85">
        <v>3</v>
      </c>
      <c r="L9" s="110">
        <v>19600000000</v>
      </c>
      <c r="M9" s="110">
        <v>-4523561644</v>
      </c>
      <c r="N9" s="85">
        <f>COUNTIF($F$1:F8,F8)</f>
        <v>1</v>
      </c>
    </row>
    <row r="10" spans="1:14" hidden="1">
      <c r="A10" s="80">
        <v>1.2022999999999999</v>
      </c>
      <c r="B10" s="81" t="s">
        <v>199</v>
      </c>
      <c r="C10" s="82">
        <v>44935</v>
      </c>
      <c r="D10" s="83"/>
      <c r="E10" s="83" t="s">
        <v>200</v>
      </c>
      <c r="F10" s="83" t="s">
        <v>201</v>
      </c>
      <c r="G10" s="106">
        <v>18000000000</v>
      </c>
      <c r="H10" s="84">
        <v>1</v>
      </c>
      <c r="I10" s="112">
        <v>18000000000</v>
      </c>
      <c r="J10" s="110">
        <v>18000000000</v>
      </c>
      <c r="K10" s="85">
        <v>1</v>
      </c>
      <c r="L10" s="110">
        <v>18000000000</v>
      </c>
      <c r="M10" s="110">
        <v>0</v>
      </c>
      <c r="N10" s="85">
        <f>COUNTIF($F$1:F9,F9)</f>
        <v>2</v>
      </c>
    </row>
    <row r="11" spans="1:14" hidden="1">
      <c r="A11" s="80">
        <v>1.2022999999999999</v>
      </c>
      <c r="B11" s="81" t="s">
        <v>199</v>
      </c>
      <c r="C11" s="82">
        <v>44937</v>
      </c>
      <c r="D11" s="83"/>
      <c r="E11" s="83" t="s">
        <v>200</v>
      </c>
      <c r="F11" s="83" t="s">
        <v>202</v>
      </c>
      <c r="G11" s="106">
        <v>10000000000</v>
      </c>
      <c r="H11" s="84">
        <v>1</v>
      </c>
      <c r="I11" s="112">
        <v>10000000000</v>
      </c>
      <c r="J11" s="110">
        <v>10000000000</v>
      </c>
      <c r="K11" s="85">
        <v>1</v>
      </c>
      <c r="L11" s="110">
        <v>10000000000</v>
      </c>
      <c r="M11" s="110">
        <v>0</v>
      </c>
      <c r="N11" s="85">
        <f>COUNTIF($F$1:F10,F10)</f>
        <v>1</v>
      </c>
    </row>
    <row r="12" spans="1:14" hidden="1">
      <c r="A12" s="80">
        <v>1.2022999999999999</v>
      </c>
      <c r="B12" s="81" t="s">
        <v>195</v>
      </c>
      <c r="C12" s="82">
        <v>44938</v>
      </c>
      <c r="D12" s="83" t="s">
        <v>203</v>
      </c>
      <c r="E12" s="83" t="s">
        <v>197</v>
      </c>
      <c r="F12" s="83" t="s">
        <v>197</v>
      </c>
      <c r="G12" s="106">
        <v>-25000000000</v>
      </c>
      <c r="H12" s="84">
        <v>-1</v>
      </c>
      <c r="I12" s="112">
        <v>-25127397260</v>
      </c>
      <c r="J12" s="110">
        <v>39200000000</v>
      </c>
      <c r="K12" s="85">
        <v>2</v>
      </c>
      <c r="L12" s="110">
        <v>19600000000</v>
      </c>
      <c r="M12" s="110">
        <v>5527397260</v>
      </c>
      <c r="N12" s="85">
        <f>COUNTIF($F$1:F11,F11)</f>
        <v>1</v>
      </c>
    </row>
    <row r="13" spans="1:14" hidden="1">
      <c r="A13" s="80">
        <v>1.2022999999999999</v>
      </c>
      <c r="B13" s="81" t="s">
        <v>204</v>
      </c>
      <c r="C13" s="82">
        <v>44938</v>
      </c>
      <c r="D13" s="83"/>
      <c r="E13" s="83" t="s">
        <v>205</v>
      </c>
      <c r="F13" s="83" t="s">
        <v>206</v>
      </c>
      <c r="G13" s="106">
        <v>50000000000</v>
      </c>
      <c r="H13" s="84">
        <v>1</v>
      </c>
      <c r="I13" s="112">
        <v>50000000000</v>
      </c>
      <c r="J13" s="110">
        <v>50000000000</v>
      </c>
      <c r="K13" s="85">
        <v>1</v>
      </c>
      <c r="L13" s="110">
        <v>50000000000</v>
      </c>
      <c r="M13" s="110">
        <v>0</v>
      </c>
      <c r="N13" s="85">
        <f>COUNTIF($F$1:F12,F12)</f>
        <v>3</v>
      </c>
    </row>
    <row r="14" spans="1:14" hidden="1">
      <c r="A14" s="80">
        <v>1.2022999999999999</v>
      </c>
      <c r="B14" s="81" t="s">
        <v>195</v>
      </c>
      <c r="C14" s="82">
        <v>44939</v>
      </c>
      <c r="D14" s="83" t="s">
        <v>207</v>
      </c>
      <c r="E14" s="83" t="s">
        <v>197</v>
      </c>
      <c r="F14" s="83" t="s">
        <v>197</v>
      </c>
      <c r="G14" s="106">
        <v>-6000000000</v>
      </c>
      <c r="H14" s="84">
        <v>-1</v>
      </c>
      <c r="I14" s="112">
        <v>-6030575342</v>
      </c>
      <c r="J14" s="110">
        <v>19600000000</v>
      </c>
      <c r="K14" s="85">
        <v>1</v>
      </c>
      <c r="L14" s="110">
        <v>19600000000</v>
      </c>
      <c r="M14" s="110">
        <v>-13569424658</v>
      </c>
      <c r="N14" s="85">
        <f>COUNTIF($F$1:F13,F13)</f>
        <v>1</v>
      </c>
    </row>
    <row r="15" spans="1:14" hidden="1">
      <c r="A15" s="80">
        <v>1.2022999999999999</v>
      </c>
      <c r="B15" s="81" t="s">
        <v>208</v>
      </c>
      <c r="C15" s="82">
        <v>44939</v>
      </c>
      <c r="D15" s="83"/>
      <c r="E15" s="83" t="s">
        <v>209</v>
      </c>
      <c r="F15" s="83" t="s">
        <v>210</v>
      </c>
      <c r="G15" s="106">
        <v>50000000000</v>
      </c>
      <c r="H15" s="84">
        <v>1</v>
      </c>
      <c r="I15" s="112">
        <v>50000000000</v>
      </c>
      <c r="J15" s="110">
        <v>50000000000</v>
      </c>
      <c r="K15" s="85">
        <v>1</v>
      </c>
      <c r="L15" s="110">
        <v>50000000000</v>
      </c>
      <c r="M15" s="110">
        <v>0</v>
      </c>
      <c r="N15" s="85">
        <f>COUNTIF($F$1:F14,F14)</f>
        <v>4</v>
      </c>
    </row>
    <row r="16" spans="1:14" hidden="1">
      <c r="A16" s="80">
        <v>1.2022999999999999</v>
      </c>
      <c r="B16" s="81" t="s">
        <v>195</v>
      </c>
      <c r="C16" s="82">
        <v>44942</v>
      </c>
      <c r="D16" s="83" t="s">
        <v>211</v>
      </c>
      <c r="E16" s="83" t="s">
        <v>197</v>
      </c>
      <c r="F16" s="83" t="s">
        <v>197</v>
      </c>
      <c r="G16" s="106">
        <v>-9000000000</v>
      </c>
      <c r="H16" s="84">
        <v>-1</v>
      </c>
      <c r="I16" s="112">
        <v>-9048821918</v>
      </c>
      <c r="J16" s="110">
        <v>0</v>
      </c>
      <c r="K16" s="85">
        <v>0</v>
      </c>
      <c r="L16" s="110">
        <v>19600000000</v>
      </c>
      <c r="M16" s="110">
        <v>-10551178082</v>
      </c>
      <c r="N16" s="85">
        <f>COUNTIF($F$1:F15,F15)</f>
        <v>1</v>
      </c>
    </row>
    <row r="17" spans="1:14" hidden="1">
      <c r="A17" s="80">
        <v>1.2022999999999999</v>
      </c>
      <c r="B17" s="81" t="s">
        <v>190</v>
      </c>
      <c r="C17" s="82">
        <v>44942</v>
      </c>
      <c r="D17" s="83"/>
      <c r="E17" s="83" t="s">
        <v>212</v>
      </c>
      <c r="F17" s="83" t="s">
        <v>213</v>
      </c>
      <c r="G17" s="106">
        <v>-5000000000</v>
      </c>
      <c r="H17" s="84">
        <v>-1</v>
      </c>
      <c r="I17" s="112">
        <v>-5025479452</v>
      </c>
      <c r="J17" s="110">
        <v>0</v>
      </c>
      <c r="K17" s="85">
        <v>0</v>
      </c>
      <c r="L17" s="110">
        <v>5000000000</v>
      </c>
      <c r="M17" s="110">
        <v>25479452</v>
      </c>
      <c r="N17" s="85">
        <f>COUNTIF($F$1:F16,F16)</f>
        <v>5</v>
      </c>
    </row>
    <row r="18" spans="1:14" hidden="1">
      <c r="A18" s="80">
        <v>1.2022999999999999</v>
      </c>
      <c r="B18" s="81" t="s">
        <v>214</v>
      </c>
      <c r="C18" s="82">
        <v>44942</v>
      </c>
      <c r="D18" s="83"/>
      <c r="E18" s="83" t="s">
        <v>215</v>
      </c>
      <c r="F18" s="83" t="s">
        <v>123</v>
      </c>
      <c r="G18" s="106">
        <v>-42000000000</v>
      </c>
      <c r="H18" s="84">
        <v>-420</v>
      </c>
      <c r="I18" s="112">
        <v>-46964347080</v>
      </c>
      <c r="J18" s="110">
        <v>0</v>
      </c>
      <c r="K18" s="85">
        <v>0</v>
      </c>
      <c r="L18" s="110">
        <v>111428767</v>
      </c>
      <c r="M18" s="110">
        <v>164264940</v>
      </c>
      <c r="N18" s="85">
        <f>COUNTIF($F$1:F17,F17)</f>
        <v>1</v>
      </c>
    </row>
    <row r="19" spans="1:14" hidden="1">
      <c r="A19" s="80">
        <v>1.2022999999999999</v>
      </c>
      <c r="B19" s="81" t="s">
        <v>216</v>
      </c>
      <c r="C19" s="82">
        <v>44942</v>
      </c>
      <c r="D19" s="83"/>
      <c r="E19" s="83" t="s">
        <v>103</v>
      </c>
      <c r="F19" s="83" t="s">
        <v>103</v>
      </c>
      <c r="G19" s="106">
        <v>13000000000</v>
      </c>
      <c r="H19" s="84">
        <v>130000</v>
      </c>
      <c r="I19" s="112">
        <v>13023140000</v>
      </c>
      <c r="J19" s="110">
        <v>55871740000</v>
      </c>
      <c r="K19" s="85">
        <v>558486</v>
      </c>
      <c r="L19" s="110">
        <v>100041.43344685453</v>
      </c>
      <c r="M19" s="110">
        <v>0</v>
      </c>
      <c r="N19" s="85">
        <f>COUNTIF($F$1:F18,F18)</f>
        <v>1</v>
      </c>
    </row>
    <row r="20" spans="1:14" hidden="1">
      <c r="A20" s="80">
        <v>1.2022999999999999</v>
      </c>
      <c r="B20" s="81" t="s">
        <v>217</v>
      </c>
      <c r="C20" s="82">
        <v>44942</v>
      </c>
      <c r="D20" s="83" t="s">
        <v>218</v>
      </c>
      <c r="E20" s="83" t="s">
        <v>219</v>
      </c>
      <c r="F20" s="83" t="s">
        <v>122</v>
      </c>
      <c r="G20" s="106">
        <v>-11715000000</v>
      </c>
      <c r="H20" s="84">
        <v>-117150</v>
      </c>
      <c r="I20" s="112">
        <v>-11785641450</v>
      </c>
      <c r="J20" s="110">
        <v>61159276146.329742</v>
      </c>
      <c r="K20" s="85">
        <v>611000</v>
      </c>
      <c r="L20" s="110">
        <v>100097.0149694431</v>
      </c>
      <c r="M20" s="110">
        <v>59276146.329740524</v>
      </c>
      <c r="N20" s="85">
        <f>COUNTIF($F$1:F19,F19)</f>
        <v>1</v>
      </c>
    </row>
    <row r="21" spans="1:14" hidden="1">
      <c r="A21" s="80">
        <v>1.2022999999999999</v>
      </c>
      <c r="B21" s="81" t="s">
        <v>220</v>
      </c>
      <c r="C21" s="82">
        <v>44942</v>
      </c>
      <c r="D21" s="83"/>
      <c r="E21" s="83" t="s">
        <v>221</v>
      </c>
      <c r="F21" s="83" t="s">
        <v>222</v>
      </c>
      <c r="G21" s="106">
        <v>10000000000</v>
      </c>
      <c r="H21" s="84">
        <v>1</v>
      </c>
      <c r="I21" s="112">
        <v>10535068493</v>
      </c>
      <c r="J21" s="110">
        <v>10535068493</v>
      </c>
      <c r="K21" s="85">
        <v>1</v>
      </c>
      <c r="L21" s="110">
        <v>10535068493</v>
      </c>
      <c r="M21" s="110">
        <v>0</v>
      </c>
      <c r="N21" s="85">
        <f>COUNTIF($F$1:F20,F20)</f>
        <v>1</v>
      </c>
    </row>
    <row r="22" spans="1:14" hidden="1">
      <c r="A22" s="80">
        <v>1.2022999999999999</v>
      </c>
      <c r="B22" s="81" t="s">
        <v>220</v>
      </c>
      <c r="C22" s="82">
        <v>44942</v>
      </c>
      <c r="D22" s="83"/>
      <c r="E22" s="83" t="s">
        <v>221</v>
      </c>
      <c r="F22" s="83" t="s">
        <v>223</v>
      </c>
      <c r="G22" s="106">
        <v>20000000000</v>
      </c>
      <c r="H22" s="84">
        <v>1</v>
      </c>
      <c r="I22" s="112">
        <v>21070136986</v>
      </c>
      <c r="J22" s="110">
        <v>21070136986</v>
      </c>
      <c r="K22" s="85">
        <v>1</v>
      </c>
      <c r="L22" s="110">
        <v>21070136986</v>
      </c>
      <c r="M22" s="110">
        <v>0</v>
      </c>
      <c r="N22" s="85">
        <f>COUNTIF($F$1:F21,F21)</f>
        <v>1</v>
      </c>
    </row>
    <row r="23" spans="1:14" hidden="1">
      <c r="A23" s="80">
        <v>1.2022999999999999</v>
      </c>
      <c r="B23" s="81" t="s">
        <v>220</v>
      </c>
      <c r="C23" s="82">
        <v>44942</v>
      </c>
      <c r="D23" s="83"/>
      <c r="E23" s="83" t="s">
        <v>221</v>
      </c>
      <c r="F23" s="83" t="s">
        <v>224</v>
      </c>
      <c r="G23" s="106">
        <v>20000000000</v>
      </c>
      <c r="H23" s="84">
        <v>1</v>
      </c>
      <c r="I23" s="112">
        <v>21070136986</v>
      </c>
      <c r="J23" s="110">
        <v>21070136986</v>
      </c>
      <c r="K23" s="85">
        <v>1</v>
      </c>
      <c r="L23" s="110">
        <v>21070136986</v>
      </c>
      <c r="M23" s="110">
        <v>0</v>
      </c>
      <c r="N23" s="85">
        <f>COUNTIF($F$1:F22,F22)</f>
        <v>1</v>
      </c>
    </row>
    <row r="24" spans="1:14" hidden="1">
      <c r="A24" s="80">
        <v>1.2022999999999999</v>
      </c>
      <c r="B24" s="81" t="s">
        <v>208</v>
      </c>
      <c r="C24" s="82">
        <v>44942</v>
      </c>
      <c r="D24" s="83"/>
      <c r="E24" s="83" t="s">
        <v>209</v>
      </c>
      <c r="F24" s="83" t="s">
        <v>225</v>
      </c>
      <c r="G24" s="106">
        <v>10000000000</v>
      </c>
      <c r="H24" s="84">
        <v>1</v>
      </c>
      <c r="I24" s="112">
        <v>10000000000</v>
      </c>
      <c r="J24" s="110">
        <v>10000000000</v>
      </c>
      <c r="K24" s="85">
        <v>1</v>
      </c>
      <c r="L24" s="110">
        <v>10000000000</v>
      </c>
      <c r="M24" s="110">
        <v>0</v>
      </c>
      <c r="N24" s="85">
        <f>COUNTIF($F$1:F23,F23)</f>
        <v>1</v>
      </c>
    </row>
    <row r="25" spans="1:14" hidden="1">
      <c r="A25" s="80">
        <v>1.2022999999999999</v>
      </c>
      <c r="B25" s="81" t="s">
        <v>226</v>
      </c>
      <c r="C25" s="82">
        <v>44944</v>
      </c>
      <c r="D25" s="83"/>
      <c r="E25" s="83" t="s">
        <v>100</v>
      </c>
      <c r="F25" s="83" t="s">
        <v>100</v>
      </c>
      <c r="G25" s="106">
        <v>-5000000000</v>
      </c>
      <c r="H25" s="84">
        <v>-50</v>
      </c>
      <c r="I25" s="112">
        <v>-5126438356</v>
      </c>
      <c r="J25" s="110">
        <v>5000000000</v>
      </c>
      <c r="K25" s="85">
        <v>50</v>
      </c>
      <c r="L25" s="110">
        <v>100000000</v>
      </c>
      <c r="M25" s="110">
        <v>126438356</v>
      </c>
      <c r="N25" s="85">
        <f>COUNTIF($F$1:F24,F24)</f>
        <v>1</v>
      </c>
    </row>
    <row r="26" spans="1:14" hidden="1">
      <c r="A26" s="80">
        <v>1.2022999999999999</v>
      </c>
      <c r="B26" s="81" t="s">
        <v>226</v>
      </c>
      <c r="C26" s="82">
        <v>44944</v>
      </c>
      <c r="D26" s="83"/>
      <c r="E26" s="83" t="s">
        <v>102</v>
      </c>
      <c r="F26" s="83" t="s">
        <v>102</v>
      </c>
      <c r="G26" s="106">
        <v>-6500000000</v>
      </c>
      <c r="H26" s="84">
        <v>-65</v>
      </c>
      <c r="I26" s="112">
        <v>-6555561644</v>
      </c>
      <c r="J26" s="110">
        <v>6500000000</v>
      </c>
      <c r="K26" s="85">
        <v>65</v>
      </c>
      <c r="L26" s="110">
        <v>100000000</v>
      </c>
      <c r="M26" s="110">
        <v>55561644</v>
      </c>
      <c r="N26" s="85">
        <f>COUNTIF($F$1:F25,F25)</f>
        <v>1</v>
      </c>
    </row>
    <row r="27" spans="1:14" hidden="1">
      <c r="A27" s="80">
        <v>1.2022999999999999</v>
      </c>
      <c r="B27" s="81" t="s">
        <v>199</v>
      </c>
      <c r="C27" s="82">
        <v>44944</v>
      </c>
      <c r="D27" s="83"/>
      <c r="E27" s="83" t="s">
        <v>200</v>
      </c>
      <c r="F27" s="83" t="s">
        <v>227</v>
      </c>
      <c r="G27" s="106">
        <v>18000000000</v>
      </c>
      <c r="H27" s="84">
        <v>1</v>
      </c>
      <c r="I27" s="112">
        <v>18000000000</v>
      </c>
      <c r="J27" s="110">
        <v>18000000000</v>
      </c>
      <c r="K27" s="85">
        <v>1</v>
      </c>
      <c r="L27" s="110">
        <v>18000000000</v>
      </c>
      <c r="M27" s="110">
        <v>0</v>
      </c>
      <c r="N27" s="85">
        <f>COUNTIF($F$1:F26,F26)</f>
        <v>1</v>
      </c>
    </row>
    <row r="28" spans="1:14" hidden="1">
      <c r="A28" s="80">
        <v>1.2022999999999999</v>
      </c>
      <c r="B28" s="81" t="s">
        <v>208</v>
      </c>
      <c r="C28" s="82">
        <v>44944</v>
      </c>
      <c r="D28" s="83"/>
      <c r="E28" s="83" t="s">
        <v>209</v>
      </c>
      <c r="F28" s="83" t="s">
        <v>228</v>
      </c>
      <c r="G28" s="106">
        <v>20000000000</v>
      </c>
      <c r="H28" s="84">
        <v>1</v>
      </c>
      <c r="I28" s="112">
        <v>20000000000</v>
      </c>
      <c r="J28" s="110">
        <v>20000000000</v>
      </c>
      <c r="K28" s="85">
        <v>1</v>
      </c>
      <c r="L28" s="110">
        <v>20000000000</v>
      </c>
      <c r="M28" s="110">
        <v>0</v>
      </c>
      <c r="N28" s="85">
        <f>COUNTIF($F$1:F27,F27)</f>
        <v>1</v>
      </c>
    </row>
    <row r="29" spans="1:14" hidden="1">
      <c r="A29" s="80">
        <v>1.2022999999999999</v>
      </c>
      <c r="B29" s="81" t="s">
        <v>208</v>
      </c>
      <c r="C29" s="82">
        <v>44956</v>
      </c>
      <c r="D29" s="83"/>
      <c r="E29" s="83" t="s">
        <v>209</v>
      </c>
      <c r="F29" s="83" t="s">
        <v>229</v>
      </c>
      <c r="G29" s="106">
        <v>40000000000</v>
      </c>
      <c r="H29" s="84">
        <v>1</v>
      </c>
      <c r="I29" s="112">
        <v>40000000000</v>
      </c>
      <c r="J29" s="110">
        <v>40000000000</v>
      </c>
      <c r="K29" s="85">
        <v>1</v>
      </c>
      <c r="L29" s="110">
        <v>40000000000</v>
      </c>
      <c r="M29" s="110">
        <v>0</v>
      </c>
      <c r="N29" s="85">
        <f>COUNTIF($F$1:F28,F28)</f>
        <v>1</v>
      </c>
    </row>
    <row r="30" spans="1:14" hidden="1">
      <c r="A30" s="80">
        <v>1.2022999999999999</v>
      </c>
      <c r="B30" s="81" t="s">
        <v>214</v>
      </c>
      <c r="C30" s="82">
        <v>44956</v>
      </c>
      <c r="D30" s="83"/>
      <c r="E30" s="83" t="s">
        <v>215</v>
      </c>
      <c r="F30" s="83" t="s">
        <v>230</v>
      </c>
      <c r="G30" s="106">
        <v>30000000000</v>
      </c>
      <c r="H30" s="84">
        <v>1</v>
      </c>
      <c r="I30" s="112">
        <v>31913060100</v>
      </c>
      <c r="J30" s="110">
        <v>31913060100</v>
      </c>
      <c r="K30" s="85">
        <v>1</v>
      </c>
      <c r="L30" s="110">
        <v>31913060100</v>
      </c>
      <c r="M30" s="110">
        <v>0</v>
      </c>
      <c r="N30" s="85">
        <f>COUNTIF($F$1:F29,F29)</f>
        <v>1</v>
      </c>
    </row>
    <row r="31" spans="1:14" hidden="1">
      <c r="A31" s="80">
        <v>1.2022999999999999</v>
      </c>
      <c r="B31" s="81" t="s">
        <v>199</v>
      </c>
      <c r="C31" s="82">
        <v>44956</v>
      </c>
      <c r="D31" s="83"/>
      <c r="E31" s="83" t="s">
        <v>200</v>
      </c>
      <c r="F31" s="83" t="s">
        <v>231</v>
      </c>
      <c r="G31" s="106">
        <v>14700000000</v>
      </c>
      <c r="H31" s="84">
        <v>1</v>
      </c>
      <c r="I31" s="112">
        <v>14756061370</v>
      </c>
      <c r="J31" s="110">
        <v>14756061370</v>
      </c>
      <c r="K31" s="85">
        <v>1</v>
      </c>
      <c r="L31" s="110">
        <v>14756061370</v>
      </c>
      <c r="M31" s="110">
        <v>0</v>
      </c>
      <c r="N31" s="85">
        <f>COUNTIF($F$1:F30,F30)</f>
        <v>1</v>
      </c>
    </row>
    <row r="32" spans="1:14" hidden="1">
      <c r="A32" s="80">
        <v>1.2022999999999999</v>
      </c>
      <c r="B32" s="81" t="s">
        <v>199</v>
      </c>
      <c r="C32" s="82">
        <v>44956</v>
      </c>
      <c r="D32" s="83"/>
      <c r="E32" s="83" t="s">
        <v>200</v>
      </c>
      <c r="F32" s="83" t="s">
        <v>232</v>
      </c>
      <c r="G32" s="106">
        <v>7000000000</v>
      </c>
      <c r="H32" s="84">
        <v>1</v>
      </c>
      <c r="I32" s="112">
        <v>7026695890</v>
      </c>
      <c r="J32" s="110">
        <v>7026695890</v>
      </c>
      <c r="K32" s="85">
        <v>1</v>
      </c>
      <c r="L32" s="110">
        <v>7026695890</v>
      </c>
      <c r="M32" s="110">
        <v>0</v>
      </c>
      <c r="N32" s="85">
        <f>COUNTIF($F$1:F31,F31)</f>
        <v>1</v>
      </c>
    </row>
    <row r="33" spans="1:14" hidden="1">
      <c r="A33" s="80">
        <v>1.2022999999999999</v>
      </c>
      <c r="B33" s="81" t="s">
        <v>220</v>
      </c>
      <c r="C33" s="82">
        <v>44957</v>
      </c>
      <c r="D33" s="83"/>
      <c r="E33" s="83" t="s">
        <v>221</v>
      </c>
      <c r="F33" s="83" t="s">
        <v>233</v>
      </c>
      <c r="G33" s="106">
        <v>3000000000</v>
      </c>
      <c r="H33" s="84">
        <v>1</v>
      </c>
      <c r="I33" s="112">
        <v>3000000000</v>
      </c>
      <c r="J33" s="110">
        <v>3000000000</v>
      </c>
      <c r="K33" s="85">
        <v>1</v>
      </c>
      <c r="L33" s="110">
        <v>3000000000</v>
      </c>
      <c r="M33" s="110">
        <v>0</v>
      </c>
      <c r="N33" s="85">
        <f>COUNTIF($F$1:F32,F32)</f>
        <v>1</v>
      </c>
    </row>
    <row r="34" spans="1:14" hidden="1">
      <c r="A34" s="80">
        <v>1.2022999999999999</v>
      </c>
      <c r="B34" s="81" t="s">
        <v>220</v>
      </c>
      <c r="C34" s="82">
        <v>44957</v>
      </c>
      <c r="D34" s="83"/>
      <c r="E34" s="83" t="s">
        <v>221</v>
      </c>
      <c r="F34" s="83" t="s">
        <v>234</v>
      </c>
      <c r="G34" s="106">
        <v>3000000000</v>
      </c>
      <c r="H34" s="84">
        <v>1</v>
      </c>
      <c r="I34" s="112">
        <v>3102202471</v>
      </c>
      <c r="J34" s="110">
        <v>3102202471</v>
      </c>
      <c r="K34" s="85">
        <v>1</v>
      </c>
      <c r="L34" s="110">
        <v>3102202471</v>
      </c>
      <c r="M34" s="110">
        <v>0</v>
      </c>
      <c r="N34" s="85">
        <f>COUNTIF($F$1:F33,F33)</f>
        <v>1</v>
      </c>
    </row>
    <row r="35" spans="1:14" hidden="1">
      <c r="A35" s="80">
        <v>1.2022999999999999</v>
      </c>
      <c r="B35" s="81" t="s">
        <v>220</v>
      </c>
      <c r="C35" s="82">
        <v>44957</v>
      </c>
      <c r="D35" s="83"/>
      <c r="E35" s="83" t="s">
        <v>221</v>
      </c>
      <c r="F35" s="83" t="s">
        <v>235</v>
      </c>
      <c r="G35" s="106">
        <v>3000000000</v>
      </c>
      <c r="H35" s="84">
        <v>1</v>
      </c>
      <c r="I35" s="112">
        <v>3102202471</v>
      </c>
      <c r="J35" s="110">
        <v>3102202471</v>
      </c>
      <c r="K35" s="85">
        <v>1</v>
      </c>
      <c r="L35" s="110">
        <v>3102202471</v>
      </c>
      <c r="M35" s="110">
        <v>0</v>
      </c>
      <c r="N35" s="85">
        <f>COUNTIF($F$1:F34,F34)</f>
        <v>1</v>
      </c>
    </row>
    <row r="36" spans="1:14" hidden="1">
      <c r="A36" s="80">
        <v>1.2022999999999999</v>
      </c>
      <c r="B36" s="81" t="s">
        <v>220</v>
      </c>
      <c r="C36" s="82">
        <v>44957</v>
      </c>
      <c r="D36" s="83"/>
      <c r="E36" s="83" t="s">
        <v>221</v>
      </c>
      <c r="F36" s="83" t="s">
        <v>236</v>
      </c>
      <c r="G36" s="106">
        <v>3000000000</v>
      </c>
      <c r="H36" s="84">
        <v>1</v>
      </c>
      <c r="I36" s="112">
        <v>3102202471</v>
      </c>
      <c r="J36" s="110">
        <v>3102202471</v>
      </c>
      <c r="K36" s="85">
        <v>1</v>
      </c>
      <c r="L36" s="110">
        <v>3102202471</v>
      </c>
      <c r="M36" s="110">
        <v>0</v>
      </c>
      <c r="N36" s="85">
        <f>COUNTIF($F$1:F35,F35)</f>
        <v>1</v>
      </c>
    </row>
    <row r="37" spans="1:14" hidden="1">
      <c r="A37" s="80">
        <v>1.2022999999999999</v>
      </c>
      <c r="B37" s="86" t="s">
        <v>237</v>
      </c>
      <c r="C37" s="87">
        <v>44957</v>
      </c>
      <c r="D37" s="88" t="s">
        <v>218</v>
      </c>
      <c r="E37" s="88" t="s">
        <v>120</v>
      </c>
      <c r="F37" s="88" t="s">
        <v>120</v>
      </c>
      <c r="G37" s="107" t="s">
        <v>238</v>
      </c>
      <c r="H37" s="89"/>
      <c r="I37" s="107">
        <v>-449697564</v>
      </c>
      <c r="J37" s="107">
        <v>100000000000.12941</v>
      </c>
      <c r="K37" s="90">
        <v>100</v>
      </c>
      <c r="L37" s="107">
        <v>1000000000.0012941</v>
      </c>
      <c r="M37" s="115">
        <v>0</v>
      </c>
      <c r="N37" s="85">
        <f>COUNTIF($F$1:F36,F36)</f>
        <v>1</v>
      </c>
    </row>
    <row r="38" spans="1:14" hidden="1">
      <c r="A38" s="80">
        <v>2.2023000000000001</v>
      </c>
      <c r="B38" s="81" t="s">
        <v>214</v>
      </c>
      <c r="C38" s="82">
        <v>44958</v>
      </c>
      <c r="D38" s="83"/>
      <c r="E38" s="83" t="s">
        <v>215</v>
      </c>
      <c r="F38" s="83" t="s">
        <v>230</v>
      </c>
      <c r="G38" s="106">
        <v>-30000000000</v>
      </c>
      <c r="H38" s="84">
        <v>-1</v>
      </c>
      <c r="I38" s="112">
        <v>-31931770800</v>
      </c>
      <c r="J38" s="110">
        <v>0</v>
      </c>
      <c r="K38" s="85">
        <v>0</v>
      </c>
      <c r="L38" s="110">
        <v>31913060100</v>
      </c>
      <c r="M38" s="110">
        <v>18710700</v>
      </c>
      <c r="N38" s="85">
        <f>COUNTIF($F$1:F37,F37)</f>
        <v>1</v>
      </c>
    </row>
    <row r="39" spans="1:14" hidden="1">
      <c r="A39" s="80">
        <v>2.2023000000000001</v>
      </c>
      <c r="B39" s="81" t="s">
        <v>220</v>
      </c>
      <c r="C39" s="82">
        <v>44958</v>
      </c>
      <c r="D39" s="83"/>
      <c r="E39" s="83" t="s">
        <v>221</v>
      </c>
      <c r="F39" s="83" t="s">
        <v>239</v>
      </c>
      <c r="G39" s="106">
        <v>5000000000</v>
      </c>
      <c r="H39" s="84">
        <v>1</v>
      </c>
      <c r="I39" s="112">
        <v>5002931507</v>
      </c>
      <c r="J39" s="110">
        <v>5002931507</v>
      </c>
      <c r="K39" s="85">
        <v>1</v>
      </c>
      <c r="L39" s="110">
        <v>5002931507</v>
      </c>
      <c r="M39" s="110">
        <v>0</v>
      </c>
      <c r="N39" s="85">
        <f>COUNTIF($F$1:F38,F38)</f>
        <v>2</v>
      </c>
    </row>
    <row r="40" spans="1:14" hidden="1">
      <c r="A40" s="80">
        <v>2.2023000000000001</v>
      </c>
      <c r="B40" s="81" t="s">
        <v>220</v>
      </c>
      <c r="C40" s="82">
        <v>44958</v>
      </c>
      <c r="D40" s="83"/>
      <c r="E40" s="83" t="s">
        <v>221</v>
      </c>
      <c r="F40" s="83" t="s">
        <v>240</v>
      </c>
      <c r="G40" s="106">
        <v>5000000000</v>
      </c>
      <c r="H40" s="84">
        <v>1</v>
      </c>
      <c r="I40" s="112">
        <v>5002931507</v>
      </c>
      <c r="J40" s="110">
        <v>5002931507</v>
      </c>
      <c r="K40" s="85">
        <v>1</v>
      </c>
      <c r="L40" s="110">
        <v>5002931507</v>
      </c>
      <c r="M40" s="110">
        <v>0</v>
      </c>
      <c r="N40" s="85">
        <f>COUNTIF($F$1:F39,F39)</f>
        <v>1</v>
      </c>
    </row>
    <row r="41" spans="1:14" hidden="1">
      <c r="A41" s="80">
        <v>2.2023000000000001</v>
      </c>
      <c r="B41" s="81" t="s">
        <v>220</v>
      </c>
      <c r="C41" s="82">
        <v>44958</v>
      </c>
      <c r="D41" s="83"/>
      <c r="E41" s="83" t="s">
        <v>221</v>
      </c>
      <c r="F41" s="83" t="s">
        <v>241</v>
      </c>
      <c r="G41" s="106">
        <v>5000000000</v>
      </c>
      <c r="H41" s="84">
        <v>1</v>
      </c>
      <c r="I41" s="112">
        <v>5002931507</v>
      </c>
      <c r="J41" s="110">
        <v>5002931507</v>
      </c>
      <c r="K41" s="85">
        <v>1</v>
      </c>
      <c r="L41" s="110">
        <v>5002931507</v>
      </c>
      <c r="M41" s="110">
        <v>0</v>
      </c>
      <c r="N41" s="85">
        <f>COUNTIF($F$1:F40,F40)</f>
        <v>1</v>
      </c>
    </row>
    <row r="42" spans="1:14" hidden="1">
      <c r="A42" s="80">
        <v>2.2023000000000001</v>
      </c>
      <c r="B42" s="81" t="s">
        <v>220</v>
      </c>
      <c r="C42" s="82">
        <v>44958</v>
      </c>
      <c r="D42" s="83"/>
      <c r="E42" s="83" t="s">
        <v>221</v>
      </c>
      <c r="F42" s="83" t="s">
        <v>242</v>
      </c>
      <c r="G42" s="106">
        <v>5000000000</v>
      </c>
      <c r="H42" s="84">
        <v>1</v>
      </c>
      <c r="I42" s="112">
        <v>5002931507</v>
      </c>
      <c r="J42" s="110">
        <v>5002931507</v>
      </c>
      <c r="K42" s="85">
        <v>1</v>
      </c>
      <c r="L42" s="110">
        <v>5002931507</v>
      </c>
      <c r="M42" s="110">
        <v>0</v>
      </c>
      <c r="N42" s="85">
        <f>COUNTIF($F$1:F41,F41)</f>
        <v>1</v>
      </c>
    </row>
    <row r="43" spans="1:14" hidden="1">
      <c r="A43" s="80">
        <v>2.2023000000000001</v>
      </c>
      <c r="B43" s="81" t="s">
        <v>220</v>
      </c>
      <c r="C43" s="82">
        <v>44958</v>
      </c>
      <c r="D43" s="83"/>
      <c r="E43" s="83" t="s">
        <v>221</v>
      </c>
      <c r="F43" s="83" t="s">
        <v>243</v>
      </c>
      <c r="G43" s="106">
        <v>5000000000</v>
      </c>
      <c r="H43" s="84">
        <v>1</v>
      </c>
      <c r="I43" s="112">
        <v>5002931507</v>
      </c>
      <c r="J43" s="110">
        <v>5002931507</v>
      </c>
      <c r="K43" s="85">
        <v>1</v>
      </c>
      <c r="L43" s="110">
        <v>5002931507</v>
      </c>
      <c r="M43" s="110">
        <v>0</v>
      </c>
      <c r="N43" s="85">
        <f>COUNTIF($F$1:F42,F42)</f>
        <v>1</v>
      </c>
    </row>
    <row r="44" spans="1:14" hidden="1">
      <c r="A44" s="80">
        <v>2.2023000000000001</v>
      </c>
      <c r="B44" s="81" t="s">
        <v>220</v>
      </c>
      <c r="C44" s="82">
        <v>44958</v>
      </c>
      <c r="D44" s="83"/>
      <c r="E44" s="83" t="s">
        <v>221</v>
      </c>
      <c r="F44" s="83" t="s">
        <v>244</v>
      </c>
      <c r="G44" s="106">
        <v>5000000000</v>
      </c>
      <c r="H44" s="84">
        <v>1</v>
      </c>
      <c r="I44" s="112">
        <v>5002931507</v>
      </c>
      <c r="J44" s="110">
        <v>5002931507</v>
      </c>
      <c r="K44" s="85">
        <v>1</v>
      </c>
      <c r="L44" s="110">
        <v>5002931507</v>
      </c>
      <c r="M44" s="110">
        <v>0</v>
      </c>
      <c r="N44" s="85">
        <f>COUNTIF($F$1:F43,F43)</f>
        <v>1</v>
      </c>
    </row>
    <row r="45" spans="1:14" hidden="1">
      <c r="A45" s="80">
        <v>2.2023000000000001</v>
      </c>
      <c r="B45" s="81" t="s">
        <v>220</v>
      </c>
      <c r="C45" s="82">
        <v>44958</v>
      </c>
      <c r="D45" s="83"/>
      <c r="E45" s="83" t="s">
        <v>221</v>
      </c>
      <c r="F45" s="83" t="s">
        <v>245</v>
      </c>
      <c r="G45" s="106">
        <v>4000000000</v>
      </c>
      <c r="H45" s="84">
        <v>1</v>
      </c>
      <c r="I45" s="112">
        <v>4000000000</v>
      </c>
      <c r="J45" s="110">
        <v>4000000000</v>
      </c>
      <c r="K45" s="85">
        <v>1</v>
      </c>
      <c r="L45" s="110">
        <v>4000000000</v>
      </c>
      <c r="M45" s="110">
        <v>0</v>
      </c>
      <c r="N45" s="85">
        <f>COUNTIF($F$1:F44,F44)</f>
        <v>1</v>
      </c>
    </row>
    <row r="46" spans="1:14" hidden="1">
      <c r="A46" s="80">
        <v>2.2023000000000001</v>
      </c>
      <c r="B46" s="81" t="s">
        <v>220</v>
      </c>
      <c r="C46" s="82">
        <v>44959</v>
      </c>
      <c r="D46" s="83"/>
      <c r="E46" s="83" t="s">
        <v>221</v>
      </c>
      <c r="F46" s="83" t="s">
        <v>246</v>
      </c>
      <c r="G46" s="106">
        <v>5000000000</v>
      </c>
      <c r="H46" s="84">
        <v>1</v>
      </c>
      <c r="I46" s="112">
        <v>5000000000</v>
      </c>
      <c r="J46" s="110">
        <v>5000000000</v>
      </c>
      <c r="K46" s="85">
        <v>1</v>
      </c>
      <c r="L46" s="110">
        <v>5000000000</v>
      </c>
      <c r="M46" s="110">
        <v>0</v>
      </c>
      <c r="N46" s="85">
        <f>COUNTIF($F$1:F45,F45)</f>
        <v>1</v>
      </c>
    </row>
    <row r="47" spans="1:14" hidden="1">
      <c r="A47" s="80">
        <v>2.2023000000000001</v>
      </c>
      <c r="B47" s="81" t="s">
        <v>199</v>
      </c>
      <c r="C47" s="82">
        <v>44960</v>
      </c>
      <c r="D47" s="83"/>
      <c r="E47" s="83" t="s">
        <v>200</v>
      </c>
      <c r="F47" s="83" t="s">
        <v>247</v>
      </c>
      <c r="G47" s="106">
        <v>5000000000</v>
      </c>
      <c r="H47" s="84">
        <v>1</v>
      </c>
      <c r="I47" s="112">
        <v>5000000000</v>
      </c>
      <c r="J47" s="110">
        <v>5000000000</v>
      </c>
      <c r="K47" s="85">
        <v>1</v>
      </c>
      <c r="L47" s="110">
        <v>5000000000</v>
      </c>
      <c r="M47" s="110">
        <v>0</v>
      </c>
      <c r="N47" s="85">
        <f>COUNTIF($F$1:F46,F46)</f>
        <v>1</v>
      </c>
    </row>
    <row r="48" spans="1:14" hidden="1">
      <c r="A48" s="80">
        <v>2.2023000000000001</v>
      </c>
      <c r="B48" s="81" t="s">
        <v>220</v>
      </c>
      <c r="C48" s="82">
        <v>44967</v>
      </c>
      <c r="D48" s="83"/>
      <c r="E48" s="83" t="s">
        <v>221</v>
      </c>
      <c r="F48" s="83" t="s">
        <v>222</v>
      </c>
      <c r="G48" s="106">
        <v>-10000000000</v>
      </c>
      <c r="H48" s="84">
        <v>-1</v>
      </c>
      <c r="I48" s="112">
        <v>-10614442297</v>
      </c>
      <c r="J48" s="110">
        <v>0</v>
      </c>
      <c r="K48" s="85">
        <v>0</v>
      </c>
      <c r="L48" s="110">
        <v>10535068493</v>
      </c>
      <c r="M48" s="110">
        <v>79373804</v>
      </c>
      <c r="N48" s="85">
        <f>COUNTIF($F$1:F47,F47)</f>
        <v>1</v>
      </c>
    </row>
    <row r="49" spans="1:14" hidden="1">
      <c r="A49" s="80">
        <v>2.2023000000000001</v>
      </c>
      <c r="B49" s="81" t="s">
        <v>220</v>
      </c>
      <c r="C49" s="82">
        <v>44967</v>
      </c>
      <c r="D49" s="83"/>
      <c r="E49" s="83" t="s">
        <v>221</v>
      </c>
      <c r="F49" s="83" t="s">
        <v>223</v>
      </c>
      <c r="G49" s="106">
        <v>-20000000000</v>
      </c>
      <c r="H49" s="84">
        <v>-1</v>
      </c>
      <c r="I49" s="112">
        <v>-21228884593</v>
      </c>
      <c r="J49" s="110">
        <v>0</v>
      </c>
      <c r="K49" s="85">
        <v>0</v>
      </c>
      <c r="L49" s="110">
        <v>21070136986</v>
      </c>
      <c r="M49" s="110">
        <v>158747607</v>
      </c>
      <c r="N49" s="85">
        <f>COUNTIF($F$1:F48,F48)</f>
        <v>2</v>
      </c>
    </row>
    <row r="50" spans="1:14" hidden="1">
      <c r="A50" s="80">
        <v>2.2023000000000001</v>
      </c>
      <c r="B50" s="81" t="s">
        <v>220</v>
      </c>
      <c r="C50" s="82">
        <v>44967</v>
      </c>
      <c r="D50" s="83"/>
      <c r="E50" s="83" t="s">
        <v>221</v>
      </c>
      <c r="F50" s="83" t="s">
        <v>224</v>
      </c>
      <c r="G50" s="106">
        <v>-20000000000</v>
      </c>
      <c r="H50" s="84">
        <v>-1</v>
      </c>
      <c r="I50" s="112">
        <v>-21228884593</v>
      </c>
      <c r="J50" s="110">
        <v>0</v>
      </c>
      <c r="K50" s="85">
        <v>0</v>
      </c>
      <c r="L50" s="110">
        <v>21070136986</v>
      </c>
      <c r="M50" s="110">
        <v>158747607</v>
      </c>
      <c r="N50" s="85">
        <f>COUNTIF($F$1:F49,F49)</f>
        <v>2</v>
      </c>
    </row>
    <row r="51" spans="1:14" hidden="1">
      <c r="A51" s="80">
        <v>2.2023000000000001</v>
      </c>
      <c r="B51" s="81" t="s">
        <v>199</v>
      </c>
      <c r="C51" s="82">
        <v>44978</v>
      </c>
      <c r="D51" s="83"/>
      <c r="E51" s="83" t="s">
        <v>200</v>
      </c>
      <c r="F51" s="83" t="s">
        <v>248</v>
      </c>
      <c r="G51" s="106">
        <v>10000000000</v>
      </c>
      <c r="H51" s="84">
        <v>1</v>
      </c>
      <c r="I51" s="112">
        <v>10000000000</v>
      </c>
      <c r="J51" s="110">
        <v>10000000000</v>
      </c>
      <c r="K51" s="85">
        <v>1</v>
      </c>
      <c r="L51" s="110">
        <v>10000000000</v>
      </c>
      <c r="M51" s="110">
        <v>0</v>
      </c>
      <c r="N51" s="85">
        <f>COUNTIF($F$1:F50,F50)</f>
        <v>2</v>
      </c>
    </row>
    <row r="52" spans="1:14" hidden="1">
      <c r="A52" s="80">
        <v>2.2023000000000001</v>
      </c>
      <c r="B52" s="81" t="s">
        <v>199</v>
      </c>
      <c r="C52" s="82">
        <v>44979</v>
      </c>
      <c r="D52" s="83"/>
      <c r="E52" s="83" t="s">
        <v>200</v>
      </c>
      <c r="F52" s="83" t="s">
        <v>249</v>
      </c>
      <c r="G52" s="106">
        <v>3000000000</v>
      </c>
      <c r="H52" s="84">
        <v>1</v>
      </c>
      <c r="I52" s="112">
        <v>3000000000</v>
      </c>
      <c r="J52" s="110">
        <v>3000000000</v>
      </c>
      <c r="K52" s="85">
        <v>1</v>
      </c>
      <c r="L52" s="110">
        <v>3000000000</v>
      </c>
      <c r="M52" s="110">
        <v>0</v>
      </c>
      <c r="N52" s="85">
        <f>COUNTIF($F$1:F51,F51)</f>
        <v>1</v>
      </c>
    </row>
    <row r="53" spans="1:14" hidden="1">
      <c r="A53" s="80">
        <v>2.2023000000000001</v>
      </c>
      <c r="B53" s="86" t="s">
        <v>220</v>
      </c>
      <c r="C53" s="87">
        <v>44966</v>
      </c>
      <c r="D53" s="88"/>
      <c r="E53" s="88" t="s">
        <v>25</v>
      </c>
      <c r="F53" s="88" t="s">
        <v>25</v>
      </c>
      <c r="G53" s="107" t="s">
        <v>238</v>
      </c>
      <c r="H53" s="89"/>
      <c r="I53" s="107">
        <v>-19325543</v>
      </c>
      <c r="J53" s="107">
        <v>50000000000.255814</v>
      </c>
      <c r="K53" s="90">
        <v>5000</v>
      </c>
      <c r="L53" s="107">
        <v>10000000.000051163</v>
      </c>
      <c r="M53" s="115">
        <v>0</v>
      </c>
      <c r="N53" s="85">
        <f>COUNTIF($F$1:F52,F52)</f>
        <v>1</v>
      </c>
    </row>
    <row r="54" spans="1:14" hidden="1">
      <c r="A54" s="80">
        <v>2.2023000000000001</v>
      </c>
      <c r="B54" s="86" t="s">
        <v>220</v>
      </c>
      <c r="C54" s="87">
        <v>44977</v>
      </c>
      <c r="D54" s="88" t="s">
        <v>218</v>
      </c>
      <c r="E54" s="88" t="s">
        <v>26</v>
      </c>
      <c r="F54" s="88" t="s">
        <v>26</v>
      </c>
      <c r="G54" s="107" t="s">
        <v>238</v>
      </c>
      <c r="H54" s="89"/>
      <c r="I54" s="107">
        <v>-169327947</v>
      </c>
      <c r="J54" s="107">
        <v>49999999999.880341</v>
      </c>
      <c r="K54" s="90">
        <v>5000</v>
      </c>
      <c r="L54" s="107">
        <v>9999999.9999760687</v>
      </c>
      <c r="M54" s="115">
        <v>0</v>
      </c>
      <c r="N54" s="85">
        <f>COUNTIF($F$1:F53,F53)</f>
        <v>1</v>
      </c>
    </row>
    <row r="55" spans="1:14" hidden="1">
      <c r="A55" s="80">
        <v>4.2023000000000001</v>
      </c>
      <c r="B55" s="81" t="s">
        <v>250</v>
      </c>
      <c r="C55" s="82">
        <v>45033</v>
      </c>
      <c r="D55" s="98"/>
      <c r="E55" s="99" t="s">
        <v>13</v>
      </c>
      <c r="F55" s="99" t="s">
        <v>13</v>
      </c>
      <c r="G55" s="110">
        <v>-3750000000</v>
      </c>
      <c r="H55" s="85">
        <v>-37500</v>
      </c>
      <c r="I55" s="114">
        <v>-3750000000</v>
      </c>
      <c r="J55" s="110">
        <v>16250000000</v>
      </c>
      <c r="K55" s="85">
        <v>162500</v>
      </c>
      <c r="L55" s="110">
        <v>100000</v>
      </c>
      <c r="M55" s="110">
        <v>0</v>
      </c>
      <c r="N55" s="85">
        <f>COUNTIF($F$1:F54,F54)</f>
        <v>1</v>
      </c>
    </row>
    <row r="56" spans="1:14" hidden="1">
      <c r="A56" s="80">
        <v>2.2023000000000001</v>
      </c>
      <c r="B56" s="81" t="s">
        <v>190</v>
      </c>
      <c r="C56" s="82">
        <v>44985</v>
      </c>
      <c r="D56" s="83"/>
      <c r="E56" s="83" t="s">
        <v>191</v>
      </c>
      <c r="F56" s="83" t="s">
        <v>192</v>
      </c>
      <c r="G56" s="106">
        <v>-10000000000</v>
      </c>
      <c r="H56" s="84">
        <v>-1</v>
      </c>
      <c r="I56" s="112">
        <v>-10230368625</v>
      </c>
      <c r="J56" s="110">
        <v>0</v>
      </c>
      <c r="K56" s="85">
        <v>0</v>
      </c>
      <c r="L56" s="110">
        <v>10063561644</v>
      </c>
      <c r="M56" s="110">
        <v>166806981</v>
      </c>
      <c r="N56" s="85">
        <f>COUNTIF($F$1:F55,F55)</f>
        <v>1</v>
      </c>
    </row>
    <row r="57" spans="1:14" hidden="1">
      <c r="A57" s="80">
        <v>2.2023000000000001</v>
      </c>
      <c r="B57" s="81" t="s">
        <v>190</v>
      </c>
      <c r="C57" s="82">
        <v>44985</v>
      </c>
      <c r="D57" s="83"/>
      <c r="E57" s="83" t="s">
        <v>191</v>
      </c>
      <c r="F57" s="83" t="s">
        <v>193</v>
      </c>
      <c r="G57" s="106">
        <v>-10000000000</v>
      </c>
      <c r="H57" s="84">
        <v>-1</v>
      </c>
      <c r="I57" s="112">
        <v>-10230368625</v>
      </c>
      <c r="J57" s="110">
        <v>0</v>
      </c>
      <c r="K57" s="85">
        <v>0</v>
      </c>
      <c r="L57" s="110">
        <v>10063561644</v>
      </c>
      <c r="M57" s="110">
        <v>166806981</v>
      </c>
      <c r="N57" s="85">
        <f>COUNTIF($F$1:F56,F56)</f>
        <v>2</v>
      </c>
    </row>
    <row r="58" spans="1:14" hidden="1">
      <c r="A58" s="80">
        <v>2.2023000000000001</v>
      </c>
      <c r="B58" s="81" t="s">
        <v>190</v>
      </c>
      <c r="C58" s="82">
        <v>44985</v>
      </c>
      <c r="D58" s="83"/>
      <c r="E58" s="83" t="s">
        <v>191</v>
      </c>
      <c r="F58" s="83" t="s">
        <v>194</v>
      </c>
      <c r="G58" s="106">
        <v>-10000000000</v>
      </c>
      <c r="H58" s="84">
        <v>-1</v>
      </c>
      <c r="I58" s="112">
        <v>-10230368625</v>
      </c>
      <c r="J58" s="110">
        <v>0</v>
      </c>
      <c r="K58" s="85">
        <v>0</v>
      </c>
      <c r="L58" s="110">
        <v>10063561644</v>
      </c>
      <c r="M58" s="110">
        <v>166806981</v>
      </c>
      <c r="N58" s="85">
        <f>COUNTIF($F$1:F57,F57)</f>
        <v>2</v>
      </c>
    </row>
    <row r="59" spans="1:14" hidden="1">
      <c r="A59" s="80">
        <v>2.2023000000000001</v>
      </c>
      <c r="B59" s="81" t="s">
        <v>220</v>
      </c>
      <c r="C59" s="82">
        <v>44985</v>
      </c>
      <c r="D59" s="83"/>
      <c r="E59" s="83" t="s">
        <v>221</v>
      </c>
      <c r="F59" s="83" t="s">
        <v>251</v>
      </c>
      <c r="G59" s="106">
        <v>3000000000</v>
      </c>
      <c r="H59" s="84">
        <v>1</v>
      </c>
      <c r="I59" s="112">
        <v>3176942466</v>
      </c>
      <c r="J59" s="110">
        <v>3176942466</v>
      </c>
      <c r="K59" s="85">
        <v>1</v>
      </c>
      <c r="L59" s="110">
        <v>3176942466</v>
      </c>
      <c r="M59" s="110">
        <v>0</v>
      </c>
      <c r="N59" s="85">
        <f>COUNTIF($F$1:F58,F58)</f>
        <v>2</v>
      </c>
    </row>
    <row r="60" spans="1:14" hidden="1">
      <c r="A60" s="80">
        <v>3.2023000000000001</v>
      </c>
      <c r="B60" s="81" t="s">
        <v>252</v>
      </c>
      <c r="C60" s="82">
        <v>44987</v>
      </c>
      <c r="D60" s="83"/>
      <c r="E60" s="83" t="s">
        <v>253</v>
      </c>
      <c r="F60" s="83" t="s">
        <v>254</v>
      </c>
      <c r="G60" s="106">
        <v>15000000000</v>
      </c>
      <c r="H60" s="84">
        <v>1</v>
      </c>
      <c r="I60" s="112">
        <v>15000000000</v>
      </c>
      <c r="J60" s="110">
        <v>15000000000</v>
      </c>
      <c r="K60" s="85">
        <v>1</v>
      </c>
      <c r="L60" s="110">
        <v>15000000000</v>
      </c>
      <c r="M60" s="110">
        <v>0</v>
      </c>
      <c r="N60" s="85">
        <f>COUNTIF($F$1:F59,F59)</f>
        <v>1</v>
      </c>
    </row>
    <row r="61" spans="1:14" hidden="1">
      <c r="A61" s="80">
        <v>3.2023000000000001</v>
      </c>
      <c r="B61" s="81" t="s">
        <v>252</v>
      </c>
      <c r="C61" s="82">
        <v>44988</v>
      </c>
      <c r="D61" s="83"/>
      <c r="E61" s="83" t="s">
        <v>253</v>
      </c>
      <c r="F61" s="83" t="s">
        <v>255</v>
      </c>
      <c r="G61" s="106">
        <v>10000000000</v>
      </c>
      <c r="H61" s="84">
        <v>1</v>
      </c>
      <c r="I61" s="112">
        <v>10000000000</v>
      </c>
      <c r="J61" s="110">
        <v>10000000000</v>
      </c>
      <c r="K61" s="85">
        <v>1</v>
      </c>
      <c r="L61" s="110">
        <v>10000000000</v>
      </c>
      <c r="M61" s="110">
        <v>0</v>
      </c>
      <c r="N61" s="85">
        <f>COUNTIF($F$1:F60,F60)</f>
        <v>1</v>
      </c>
    </row>
    <row r="62" spans="1:14" hidden="1">
      <c r="A62" s="80">
        <v>3.2023000000000001</v>
      </c>
      <c r="B62" s="81" t="s">
        <v>190</v>
      </c>
      <c r="C62" s="82">
        <v>44991</v>
      </c>
      <c r="D62" s="83"/>
      <c r="E62" s="83" t="s">
        <v>191</v>
      </c>
      <c r="F62" s="83" t="s">
        <v>256</v>
      </c>
      <c r="G62" s="106">
        <v>25000000000</v>
      </c>
      <c r="H62" s="84">
        <v>5</v>
      </c>
      <c r="I62" s="112">
        <v>25000000000</v>
      </c>
      <c r="J62" s="110">
        <v>25000000000</v>
      </c>
      <c r="K62" s="85">
        <v>5</v>
      </c>
      <c r="L62" s="110">
        <v>5000000000</v>
      </c>
      <c r="M62" s="110">
        <v>0</v>
      </c>
      <c r="N62" s="85">
        <f>COUNTIF($F$1:F61,F61)</f>
        <v>1</v>
      </c>
    </row>
    <row r="63" spans="1:14" hidden="1">
      <c r="A63" s="80">
        <v>3.2023000000000001</v>
      </c>
      <c r="B63" s="91"/>
      <c r="C63" s="92">
        <v>44991</v>
      </c>
      <c r="D63" s="93" t="s">
        <v>218</v>
      </c>
      <c r="E63" s="93" t="s">
        <v>121</v>
      </c>
      <c r="F63" s="93" t="s">
        <v>121</v>
      </c>
      <c r="G63" s="108" t="s">
        <v>238</v>
      </c>
      <c r="H63" s="89"/>
      <c r="I63" s="107">
        <v>-243684680</v>
      </c>
      <c r="J63" s="107">
        <v>50000000000.081001</v>
      </c>
      <c r="K63" s="90">
        <v>50</v>
      </c>
      <c r="L63" s="107">
        <v>1000000000.0016201</v>
      </c>
      <c r="M63" s="115">
        <v>0</v>
      </c>
      <c r="N63" s="85">
        <f>COUNTIF($F$1:F62,F62)</f>
        <v>1</v>
      </c>
    </row>
    <row r="64" spans="1:14" hidden="1">
      <c r="A64" s="80">
        <v>3.2023000000000001</v>
      </c>
      <c r="B64" s="81" t="s">
        <v>252</v>
      </c>
      <c r="C64" s="82">
        <v>44994</v>
      </c>
      <c r="D64" s="83"/>
      <c r="E64" s="83" t="s">
        <v>253</v>
      </c>
      <c r="F64" s="83" t="s">
        <v>255</v>
      </c>
      <c r="G64" s="106">
        <v>-10000000000</v>
      </c>
      <c r="H64" s="84">
        <v>-1</v>
      </c>
      <c r="I64" s="112">
        <v>-10016109589</v>
      </c>
      <c r="J64" s="110">
        <v>0</v>
      </c>
      <c r="K64" s="85">
        <v>0</v>
      </c>
      <c r="L64" s="110">
        <v>10000000000</v>
      </c>
      <c r="M64" s="110">
        <v>16109589</v>
      </c>
      <c r="N64" s="85">
        <f>COUNTIF($F$1:F63,F63)</f>
        <v>1</v>
      </c>
    </row>
    <row r="65" spans="1:14" hidden="1">
      <c r="A65" s="80">
        <v>3.2023000000000001</v>
      </c>
      <c r="B65" s="94" t="s">
        <v>217</v>
      </c>
      <c r="C65" s="92">
        <v>44998</v>
      </c>
      <c r="D65" s="94" t="s">
        <v>218</v>
      </c>
      <c r="E65" s="94" t="s">
        <v>219</v>
      </c>
      <c r="F65" s="94" t="s">
        <v>122</v>
      </c>
      <c r="G65" s="109" t="s">
        <v>238</v>
      </c>
      <c r="H65" s="95"/>
      <c r="I65" s="109">
        <v>-59276146</v>
      </c>
      <c r="J65" s="109">
        <v>61100000000.329742</v>
      </c>
      <c r="K65" s="90">
        <v>611000</v>
      </c>
      <c r="L65" s="109">
        <v>100000.00000054001</v>
      </c>
      <c r="M65" s="109">
        <v>0</v>
      </c>
      <c r="N65" s="85">
        <f>COUNTIF($F$1:F64,F64)</f>
        <v>2</v>
      </c>
    </row>
    <row r="66" spans="1:14" hidden="1">
      <c r="A66" s="80">
        <v>3.2023000000000001</v>
      </c>
      <c r="B66" s="81" t="s">
        <v>220</v>
      </c>
      <c r="C66" s="82">
        <v>45007</v>
      </c>
      <c r="D66" s="83"/>
      <c r="E66" s="83" t="s">
        <v>221</v>
      </c>
      <c r="F66" s="83" t="s">
        <v>251</v>
      </c>
      <c r="G66" s="106">
        <v>-3000000000</v>
      </c>
      <c r="H66" s="84">
        <v>-1</v>
      </c>
      <c r="I66" s="112">
        <v>-3192261421</v>
      </c>
      <c r="J66" s="110">
        <v>0</v>
      </c>
      <c r="K66" s="85">
        <v>0</v>
      </c>
      <c r="L66" s="110">
        <v>3176942466</v>
      </c>
      <c r="M66" s="110">
        <v>15318955</v>
      </c>
      <c r="N66" s="85">
        <f>COUNTIF($F$1:F65,F65)</f>
        <v>2</v>
      </c>
    </row>
    <row r="67" spans="1:14" hidden="1">
      <c r="A67" s="80">
        <v>3.2023000000000001</v>
      </c>
      <c r="B67" s="81" t="s">
        <v>252</v>
      </c>
      <c r="C67" s="82">
        <v>45016</v>
      </c>
      <c r="D67" s="83"/>
      <c r="E67" s="83" t="s">
        <v>253</v>
      </c>
      <c r="F67" s="83" t="s">
        <v>257</v>
      </c>
      <c r="G67" s="106">
        <v>15000000000</v>
      </c>
      <c r="H67" s="84">
        <v>1</v>
      </c>
      <c r="I67" s="112">
        <v>15000000000</v>
      </c>
      <c r="J67" s="110">
        <v>15000000000</v>
      </c>
      <c r="K67" s="85">
        <v>1</v>
      </c>
      <c r="L67" s="110">
        <v>15000000000</v>
      </c>
      <c r="M67" s="110">
        <v>0</v>
      </c>
      <c r="N67" s="85">
        <f>COUNTIF($F$1:F66,F66)</f>
        <v>2</v>
      </c>
    </row>
    <row r="68" spans="1:14" hidden="1">
      <c r="A68" s="80">
        <v>4.2023000000000001</v>
      </c>
      <c r="B68" s="83" t="s">
        <v>252</v>
      </c>
      <c r="C68" s="82">
        <v>45022</v>
      </c>
      <c r="D68" s="96"/>
      <c r="E68" s="83" t="s">
        <v>253</v>
      </c>
      <c r="F68" s="97" t="s">
        <v>258</v>
      </c>
      <c r="G68" s="106">
        <v>15000000000</v>
      </c>
      <c r="H68" s="84">
        <v>1</v>
      </c>
      <c r="I68" s="113">
        <v>15000000000</v>
      </c>
      <c r="J68" s="110">
        <v>15000000000</v>
      </c>
      <c r="K68" s="85">
        <v>1</v>
      </c>
      <c r="L68" s="110">
        <v>15000000000</v>
      </c>
      <c r="M68" s="110">
        <v>0</v>
      </c>
      <c r="N68" s="85">
        <f>COUNTIF($F$1:F67,F67)</f>
        <v>1</v>
      </c>
    </row>
    <row r="69" spans="1:14" hidden="1">
      <c r="A69" s="80">
        <v>4.2023000000000001</v>
      </c>
      <c r="B69" s="81" t="s">
        <v>190</v>
      </c>
      <c r="C69" s="82">
        <v>45022</v>
      </c>
      <c r="D69" s="98"/>
      <c r="E69" s="83" t="s">
        <v>191</v>
      </c>
      <c r="F69" s="99" t="s">
        <v>259</v>
      </c>
      <c r="G69" s="110">
        <v>25000000000</v>
      </c>
      <c r="H69" s="85">
        <v>1</v>
      </c>
      <c r="I69" s="114">
        <v>25000000000</v>
      </c>
      <c r="J69" s="110">
        <v>25000000000</v>
      </c>
      <c r="K69" s="85">
        <v>1</v>
      </c>
      <c r="L69" s="110">
        <v>25000000000</v>
      </c>
      <c r="M69" s="110">
        <v>0</v>
      </c>
      <c r="N69" s="85">
        <f>COUNTIF($F$1:F68,F68)</f>
        <v>1</v>
      </c>
    </row>
    <row r="70" spans="1:14" hidden="1">
      <c r="A70" s="80">
        <v>4.2023000000000001</v>
      </c>
      <c r="B70" s="81" t="s">
        <v>252</v>
      </c>
      <c r="C70" s="82">
        <v>45023</v>
      </c>
      <c r="D70" s="98"/>
      <c r="E70" s="83" t="s">
        <v>253</v>
      </c>
      <c r="F70" s="99" t="s">
        <v>260</v>
      </c>
      <c r="G70" s="110">
        <v>5000000000</v>
      </c>
      <c r="H70" s="85">
        <v>1</v>
      </c>
      <c r="I70" s="114">
        <v>5000000000</v>
      </c>
      <c r="J70" s="110">
        <v>5000000000</v>
      </c>
      <c r="K70" s="85">
        <v>1</v>
      </c>
      <c r="L70" s="110">
        <v>5000000000</v>
      </c>
      <c r="M70" s="110">
        <v>0</v>
      </c>
      <c r="N70" s="85">
        <f>COUNTIF($F$1:F69,F69)</f>
        <v>1</v>
      </c>
    </row>
    <row r="71" spans="1:14" hidden="1">
      <c r="A71" s="80">
        <v>10.202299999999999</v>
      </c>
      <c r="B71" s="81" t="s">
        <v>261</v>
      </c>
      <c r="C71" s="82">
        <v>45215</v>
      </c>
      <c r="D71" s="83"/>
      <c r="E71" s="83" t="s">
        <v>13</v>
      </c>
      <c r="F71" s="83" t="s">
        <v>13</v>
      </c>
      <c r="G71" s="106">
        <v>-3750000000</v>
      </c>
      <c r="H71" s="84">
        <v>-37500</v>
      </c>
      <c r="I71" s="106">
        <v>-3750000000</v>
      </c>
      <c r="J71" s="110">
        <v>12500000000</v>
      </c>
      <c r="K71" s="85">
        <v>125000</v>
      </c>
      <c r="L71" s="110">
        <v>100000</v>
      </c>
      <c r="M71" s="110">
        <v>0</v>
      </c>
      <c r="N71" s="85">
        <f>COUNTIF($F$1:F70,F70)</f>
        <v>1</v>
      </c>
    </row>
    <row r="72" spans="1:14" hidden="1">
      <c r="A72" s="80">
        <v>4.2023000000000001</v>
      </c>
      <c r="B72" s="81" t="s">
        <v>262</v>
      </c>
      <c r="C72" s="82">
        <v>45030</v>
      </c>
      <c r="D72" s="98"/>
      <c r="E72" s="99" t="s">
        <v>120</v>
      </c>
      <c r="F72" s="99" t="s">
        <v>120</v>
      </c>
      <c r="G72" s="110">
        <v>-100000000000</v>
      </c>
      <c r="H72" s="85">
        <v>-100</v>
      </c>
      <c r="I72" s="114">
        <v>-102120547895</v>
      </c>
      <c r="J72" s="110">
        <v>0</v>
      </c>
      <c r="K72" s="85">
        <v>0</v>
      </c>
      <c r="L72" s="110">
        <v>1000000000.0012941</v>
      </c>
      <c r="M72" s="110">
        <v>2120547894.8705902</v>
      </c>
      <c r="N72" s="85">
        <f>COUNTIF($F$1:F71,F71)</f>
        <v>2</v>
      </c>
    </row>
    <row r="73" spans="1:14" hidden="1">
      <c r="A73" s="80">
        <v>2.2023000000000001</v>
      </c>
      <c r="B73" s="86" t="s">
        <v>263</v>
      </c>
      <c r="C73" s="87">
        <v>44977</v>
      </c>
      <c r="D73" s="88"/>
      <c r="E73" s="88" t="s">
        <v>21</v>
      </c>
      <c r="F73" s="88" t="s">
        <v>21</v>
      </c>
      <c r="G73" s="107" t="s">
        <v>238</v>
      </c>
      <c r="H73" s="89"/>
      <c r="I73" s="107">
        <v>-126027500</v>
      </c>
      <c r="J73" s="107">
        <v>5043622500</v>
      </c>
      <c r="K73" s="90">
        <v>50000</v>
      </c>
      <c r="L73" s="107">
        <v>100872.45</v>
      </c>
      <c r="M73" s="115">
        <v>0</v>
      </c>
      <c r="N73" s="85">
        <f>COUNTIF($F$1:F72,F72)</f>
        <v>2</v>
      </c>
    </row>
    <row r="74" spans="1:14" hidden="1">
      <c r="A74" s="80">
        <v>4.2023000000000001</v>
      </c>
      <c r="B74" s="81" t="s">
        <v>252</v>
      </c>
      <c r="C74" s="82">
        <v>45033</v>
      </c>
      <c r="D74" s="98"/>
      <c r="E74" s="83" t="s">
        <v>253</v>
      </c>
      <c r="F74" s="99" t="s">
        <v>264</v>
      </c>
      <c r="G74" s="110">
        <v>20000000000</v>
      </c>
      <c r="H74" s="85">
        <v>1</v>
      </c>
      <c r="I74" s="114">
        <v>20000000000</v>
      </c>
      <c r="J74" s="110">
        <v>20000000000</v>
      </c>
      <c r="K74" s="85">
        <v>1</v>
      </c>
      <c r="L74" s="110">
        <v>20000000000</v>
      </c>
      <c r="M74" s="110">
        <v>0</v>
      </c>
      <c r="N74" s="85">
        <f>COUNTIF($F$1:F73,F73)</f>
        <v>1</v>
      </c>
    </row>
    <row r="75" spans="1:14" hidden="1">
      <c r="A75" s="80">
        <v>4.2023000000000001</v>
      </c>
      <c r="B75" s="81" t="s">
        <v>208</v>
      </c>
      <c r="C75" s="82">
        <v>45033</v>
      </c>
      <c r="D75" s="98"/>
      <c r="E75" s="83" t="s">
        <v>209</v>
      </c>
      <c r="F75" s="99" t="s">
        <v>265</v>
      </c>
      <c r="G75" s="110">
        <v>20000000000</v>
      </c>
      <c r="H75" s="85">
        <v>1</v>
      </c>
      <c r="I75" s="114">
        <v>20000000000</v>
      </c>
      <c r="J75" s="110">
        <v>20000000000</v>
      </c>
      <c r="K75" s="85">
        <v>1</v>
      </c>
      <c r="L75" s="110">
        <v>20000000000</v>
      </c>
      <c r="M75" s="110">
        <v>0</v>
      </c>
      <c r="N75" s="85">
        <f>COUNTIF($F$1:F74,F74)</f>
        <v>1</v>
      </c>
    </row>
    <row r="76" spans="1:14" hidden="1">
      <c r="A76" s="80">
        <v>4.2023000000000001</v>
      </c>
      <c r="B76" s="81" t="s">
        <v>266</v>
      </c>
      <c r="C76" s="82">
        <v>45042</v>
      </c>
      <c r="D76" s="100"/>
      <c r="E76" s="83" t="s">
        <v>18</v>
      </c>
      <c r="F76" s="99" t="s">
        <v>18</v>
      </c>
      <c r="G76" s="110">
        <v>50000000000</v>
      </c>
      <c r="H76" s="85">
        <v>5000</v>
      </c>
      <c r="I76" s="114">
        <v>50868580000</v>
      </c>
      <c r="J76" s="110">
        <v>70868580000</v>
      </c>
      <c r="K76" s="85">
        <v>7000</v>
      </c>
      <c r="L76" s="110">
        <v>10124082.857142856</v>
      </c>
      <c r="M76" s="110">
        <v>0</v>
      </c>
      <c r="N76" s="85">
        <f>COUNTIF($F$1:F75,F75)</f>
        <v>1</v>
      </c>
    </row>
    <row r="77" spans="1:14" hidden="1">
      <c r="A77" s="80">
        <v>5.2023000000000001</v>
      </c>
      <c r="B77" s="81" t="s">
        <v>267</v>
      </c>
      <c r="C77" s="101">
        <v>45050</v>
      </c>
      <c r="D77" s="100"/>
      <c r="E77" s="100" t="s">
        <v>268</v>
      </c>
      <c r="F77" s="100" t="s">
        <v>269</v>
      </c>
      <c r="G77" s="110">
        <v>10000000000</v>
      </c>
      <c r="H77" s="102">
        <v>1</v>
      </c>
      <c r="I77" s="114">
        <v>10000000000</v>
      </c>
      <c r="J77" s="110">
        <v>10000000000</v>
      </c>
      <c r="K77" s="85">
        <v>1</v>
      </c>
      <c r="L77" s="110">
        <v>10000000000</v>
      </c>
      <c r="M77" s="110">
        <v>0</v>
      </c>
      <c r="N77" s="85">
        <f>COUNTIF($F$1:F76,F76)</f>
        <v>1</v>
      </c>
    </row>
    <row r="78" spans="1:14" hidden="1">
      <c r="A78" s="80">
        <v>5.2023000000000001</v>
      </c>
      <c r="B78" s="81" t="s">
        <v>267</v>
      </c>
      <c r="C78" s="101">
        <v>45054</v>
      </c>
      <c r="D78" s="100"/>
      <c r="E78" s="100" t="s">
        <v>268</v>
      </c>
      <c r="F78" s="100" t="s">
        <v>270</v>
      </c>
      <c r="G78" s="110">
        <v>10000000000</v>
      </c>
      <c r="H78" s="102">
        <v>1</v>
      </c>
      <c r="I78" s="114">
        <v>10000000000</v>
      </c>
      <c r="J78" s="110">
        <v>10000000000</v>
      </c>
      <c r="K78" s="85">
        <v>1</v>
      </c>
      <c r="L78" s="110">
        <v>10000000000</v>
      </c>
      <c r="M78" s="110">
        <v>0</v>
      </c>
      <c r="N78" s="85">
        <f>COUNTIF($F$1:F77,F77)</f>
        <v>1</v>
      </c>
    </row>
    <row r="79" spans="1:14" hidden="1">
      <c r="A79" s="80">
        <v>5.2023000000000001</v>
      </c>
      <c r="B79" s="103" t="s">
        <v>263</v>
      </c>
      <c r="C79" s="92">
        <v>45062</v>
      </c>
      <c r="D79" s="94"/>
      <c r="E79" s="94" t="s">
        <v>21</v>
      </c>
      <c r="F79" s="94" t="s">
        <v>21</v>
      </c>
      <c r="G79" s="111" t="s">
        <v>238</v>
      </c>
      <c r="H79" s="95"/>
      <c r="I79" s="109">
        <v>-43622500</v>
      </c>
      <c r="J79" s="109">
        <v>5000000000</v>
      </c>
      <c r="K79" s="90">
        <v>50000</v>
      </c>
      <c r="L79" s="109">
        <v>100000</v>
      </c>
      <c r="M79" s="110">
        <v>0</v>
      </c>
      <c r="N79" s="85">
        <f>COUNTIF($F$1:F78,F78)</f>
        <v>1</v>
      </c>
    </row>
    <row r="80" spans="1:14" hidden="1">
      <c r="A80" s="80">
        <v>5.2023000000000001</v>
      </c>
      <c r="B80" s="81" t="s">
        <v>271</v>
      </c>
      <c r="C80" s="101">
        <v>45070</v>
      </c>
      <c r="D80" s="100"/>
      <c r="E80" s="100" t="s">
        <v>102</v>
      </c>
      <c r="F80" s="100" t="s">
        <v>102</v>
      </c>
      <c r="G80" s="110">
        <v>-3200000000</v>
      </c>
      <c r="H80" s="102">
        <v>-32</v>
      </c>
      <c r="I80" s="114">
        <v>-3269523296</v>
      </c>
      <c r="J80" s="110">
        <v>3300000000</v>
      </c>
      <c r="K80" s="85">
        <v>33</v>
      </c>
      <c r="L80" s="110">
        <v>100000000</v>
      </c>
      <c r="M80" s="110">
        <v>69523296</v>
      </c>
      <c r="N80" s="85">
        <f>COUNTIF($F$1:F79,F79)</f>
        <v>2</v>
      </c>
    </row>
    <row r="81" spans="1:14" hidden="1">
      <c r="A81" s="80">
        <v>5.2023000000000001</v>
      </c>
      <c r="B81" s="81" t="s">
        <v>272</v>
      </c>
      <c r="C81" s="101">
        <v>45072</v>
      </c>
      <c r="D81" s="100"/>
      <c r="E81" s="100" t="s">
        <v>98</v>
      </c>
      <c r="F81" s="100" t="s">
        <v>98</v>
      </c>
      <c r="G81" s="110">
        <v>-120000000000</v>
      </c>
      <c r="H81" s="102">
        <v>-120</v>
      </c>
      <c r="I81" s="114">
        <v>-129270000000</v>
      </c>
      <c r="J81" s="110">
        <v>0</v>
      </c>
      <c r="K81" s="85">
        <v>0</v>
      </c>
      <c r="L81" s="110">
        <v>1000000000</v>
      </c>
      <c r="M81" s="110">
        <v>9270000000</v>
      </c>
      <c r="N81" s="85">
        <f>COUNTIF($F$1:F80,F80)</f>
        <v>2</v>
      </c>
    </row>
    <row r="82" spans="1:14" hidden="1">
      <c r="A82" s="80">
        <v>5.2023000000000001</v>
      </c>
      <c r="B82" s="81" t="s">
        <v>271</v>
      </c>
      <c r="C82" s="101">
        <v>45072</v>
      </c>
      <c r="D82" s="100"/>
      <c r="E82" s="100" t="s">
        <v>101</v>
      </c>
      <c r="F82" s="100" t="s">
        <v>101</v>
      </c>
      <c r="G82" s="110">
        <v>-9000000000</v>
      </c>
      <c r="H82" s="102">
        <v>-90</v>
      </c>
      <c r="I82" s="114">
        <v>-9103561644</v>
      </c>
      <c r="J82" s="110">
        <v>21000000000</v>
      </c>
      <c r="K82" s="85">
        <v>210</v>
      </c>
      <c r="L82" s="110">
        <v>100000000</v>
      </c>
      <c r="M82" s="110">
        <v>103561644</v>
      </c>
      <c r="N82" s="85">
        <f>COUNTIF($F$1:F81,F81)</f>
        <v>1</v>
      </c>
    </row>
    <row r="83" spans="1:14" hidden="1">
      <c r="A83" s="80">
        <v>5.2023000000000001</v>
      </c>
      <c r="B83" s="81" t="s">
        <v>273</v>
      </c>
      <c r="C83" s="101">
        <v>45072</v>
      </c>
      <c r="D83" s="100"/>
      <c r="E83" s="100" t="s">
        <v>30</v>
      </c>
      <c r="F83" s="100" t="s">
        <v>30</v>
      </c>
      <c r="G83" s="110">
        <v>50000000000</v>
      </c>
      <c r="H83" s="102">
        <v>50</v>
      </c>
      <c r="I83" s="114">
        <v>50103082200</v>
      </c>
      <c r="J83" s="110">
        <v>50103082200</v>
      </c>
      <c r="K83" s="85">
        <v>50</v>
      </c>
      <c r="L83" s="110">
        <v>1002061644</v>
      </c>
      <c r="M83" s="110">
        <v>0</v>
      </c>
      <c r="N83" s="85">
        <f>COUNTIF($F$1:F82,F82)</f>
        <v>1</v>
      </c>
    </row>
    <row r="84" spans="1:14" hidden="1">
      <c r="A84" s="80">
        <v>5.2023000000000001</v>
      </c>
      <c r="B84" s="81" t="s">
        <v>267</v>
      </c>
      <c r="C84" s="101">
        <v>45072</v>
      </c>
      <c r="D84" s="100"/>
      <c r="E84" s="100" t="s">
        <v>268</v>
      </c>
      <c r="F84" s="100" t="s">
        <v>274</v>
      </c>
      <c r="G84" s="110">
        <v>40000000000</v>
      </c>
      <c r="H84" s="102">
        <v>1</v>
      </c>
      <c r="I84" s="114">
        <v>40000000000</v>
      </c>
      <c r="J84" s="110">
        <v>40000000000</v>
      </c>
      <c r="K84" s="85">
        <v>1</v>
      </c>
      <c r="L84" s="110">
        <v>40000000000</v>
      </c>
      <c r="M84" s="110">
        <v>0</v>
      </c>
      <c r="N84" s="85">
        <f>COUNTIF($F$1:F83,F83)</f>
        <v>1</v>
      </c>
    </row>
    <row r="85" spans="1:14" hidden="1">
      <c r="A85" s="80">
        <v>5.2023000000000001</v>
      </c>
      <c r="B85" s="81" t="s">
        <v>267</v>
      </c>
      <c r="C85" s="101">
        <v>45076</v>
      </c>
      <c r="D85" s="100"/>
      <c r="E85" s="100" t="s">
        <v>268</v>
      </c>
      <c r="F85" s="100" t="s">
        <v>275</v>
      </c>
      <c r="G85" s="110">
        <v>10000000000</v>
      </c>
      <c r="H85" s="102">
        <v>1</v>
      </c>
      <c r="I85" s="114">
        <v>10000000000</v>
      </c>
      <c r="J85" s="110">
        <v>10000000000</v>
      </c>
      <c r="K85" s="85">
        <v>1</v>
      </c>
      <c r="L85" s="110">
        <v>10000000000</v>
      </c>
      <c r="M85" s="110">
        <v>0</v>
      </c>
      <c r="N85" s="85">
        <f>COUNTIF($F$1:F84,F84)</f>
        <v>1</v>
      </c>
    </row>
    <row r="86" spans="1:14" hidden="1">
      <c r="A86" s="80">
        <v>5.2023000000000001</v>
      </c>
      <c r="B86" s="81" t="s">
        <v>267</v>
      </c>
      <c r="C86" s="101">
        <v>45077</v>
      </c>
      <c r="D86" s="100"/>
      <c r="E86" s="100" t="s">
        <v>268</v>
      </c>
      <c r="F86" s="100" t="s">
        <v>276</v>
      </c>
      <c r="G86" s="110">
        <v>5000000000</v>
      </c>
      <c r="H86" s="102">
        <v>1</v>
      </c>
      <c r="I86" s="114">
        <v>5000000000</v>
      </c>
      <c r="J86" s="110">
        <v>5000000000</v>
      </c>
      <c r="K86" s="85">
        <v>1</v>
      </c>
      <c r="L86" s="110">
        <v>5000000000</v>
      </c>
      <c r="M86" s="110">
        <v>0</v>
      </c>
      <c r="N86" s="85">
        <f>COUNTIF($F$1:F85,F85)</f>
        <v>1</v>
      </c>
    </row>
    <row r="87" spans="1:14" hidden="1">
      <c r="A87" s="80">
        <v>6.2023000000000001</v>
      </c>
      <c r="B87" s="81" t="s">
        <v>267</v>
      </c>
      <c r="C87" s="101">
        <v>45078</v>
      </c>
      <c r="D87" s="100"/>
      <c r="E87" s="100" t="s">
        <v>268</v>
      </c>
      <c r="F87" s="100" t="s">
        <v>277</v>
      </c>
      <c r="G87" s="110">
        <v>3000000000</v>
      </c>
      <c r="H87" s="102">
        <v>1</v>
      </c>
      <c r="I87" s="114">
        <v>3000000000</v>
      </c>
      <c r="J87" s="110">
        <v>3000000000</v>
      </c>
      <c r="K87" s="85">
        <v>1</v>
      </c>
      <c r="L87" s="110">
        <v>3000000000</v>
      </c>
      <c r="M87" s="110">
        <v>0</v>
      </c>
      <c r="N87" s="85">
        <f>COUNTIF($F$1:F86,F86)</f>
        <v>1</v>
      </c>
    </row>
    <row r="88" spans="1:14" hidden="1">
      <c r="A88" s="80">
        <v>6.2023000000000001</v>
      </c>
      <c r="B88" s="81" t="s">
        <v>267</v>
      </c>
      <c r="C88" s="101">
        <v>45079</v>
      </c>
      <c r="D88" s="100"/>
      <c r="E88" s="100" t="s">
        <v>268</v>
      </c>
      <c r="F88" s="100" t="s">
        <v>278</v>
      </c>
      <c r="G88" s="110">
        <v>2000000000</v>
      </c>
      <c r="H88" s="102">
        <v>1</v>
      </c>
      <c r="I88" s="114">
        <v>2000000000</v>
      </c>
      <c r="J88" s="110">
        <v>2000000000</v>
      </c>
      <c r="K88" s="85">
        <v>1</v>
      </c>
      <c r="L88" s="110">
        <v>2000000000</v>
      </c>
      <c r="M88" s="110">
        <v>0</v>
      </c>
      <c r="N88" s="85">
        <f>COUNTIF($F$1:F87,F87)</f>
        <v>1</v>
      </c>
    </row>
    <row r="89" spans="1:14" hidden="1">
      <c r="A89" s="80">
        <v>6.2023000000000001</v>
      </c>
      <c r="B89" s="81" t="s">
        <v>262</v>
      </c>
      <c r="C89" s="101">
        <v>45082</v>
      </c>
      <c r="D89" s="100"/>
      <c r="E89" s="100" t="s">
        <v>121</v>
      </c>
      <c r="F89" s="100" t="s">
        <v>121</v>
      </c>
      <c r="G89" s="110">
        <v>-50000000000</v>
      </c>
      <c r="H89" s="102">
        <v>-50</v>
      </c>
      <c r="I89" s="114">
        <v>-51095616438</v>
      </c>
      <c r="J89" s="110">
        <v>0</v>
      </c>
      <c r="K89" s="85">
        <v>0</v>
      </c>
      <c r="L89" s="110">
        <v>1000000000.0016201</v>
      </c>
      <c r="M89" s="110">
        <v>1095616437.9189987</v>
      </c>
      <c r="N89" s="85">
        <f>COUNTIF($F$1:F88,F88)</f>
        <v>1</v>
      </c>
    </row>
    <row r="90" spans="1:14" hidden="1">
      <c r="A90" s="80">
        <v>6.2023000000000001</v>
      </c>
      <c r="B90" s="81" t="s">
        <v>266</v>
      </c>
      <c r="C90" s="82">
        <v>45082</v>
      </c>
      <c r="D90" s="83"/>
      <c r="E90" s="83" t="s">
        <v>279</v>
      </c>
      <c r="F90" s="83" t="s">
        <v>279</v>
      </c>
      <c r="G90" s="106">
        <v>50000000000</v>
      </c>
      <c r="H90" s="84">
        <v>5000</v>
      </c>
      <c r="I90" s="112">
        <v>51264295000</v>
      </c>
      <c r="J90" s="110">
        <v>51264295000</v>
      </c>
      <c r="K90" s="85">
        <v>5000</v>
      </c>
      <c r="L90" s="110">
        <v>10252859</v>
      </c>
      <c r="M90" s="110">
        <v>0</v>
      </c>
      <c r="N90" s="85">
        <f>COUNTIF($F$1:F89,F89)</f>
        <v>2</v>
      </c>
    </row>
    <row r="91" spans="1:14" hidden="1">
      <c r="A91" s="80">
        <v>6.2023000000000001</v>
      </c>
      <c r="B91" s="81" t="s">
        <v>271</v>
      </c>
      <c r="C91" s="82">
        <v>45084</v>
      </c>
      <c r="D91" s="83"/>
      <c r="E91" s="100" t="s">
        <v>100</v>
      </c>
      <c r="F91" s="100" t="s">
        <v>100</v>
      </c>
      <c r="G91" s="106">
        <v>-1500000000</v>
      </c>
      <c r="H91" s="84">
        <v>-15</v>
      </c>
      <c r="I91" s="112">
        <v>-1519109589</v>
      </c>
      <c r="J91" s="110">
        <v>3500000000</v>
      </c>
      <c r="K91" s="85">
        <v>35</v>
      </c>
      <c r="L91" s="110">
        <v>100000000</v>
      </c>
      <c r="M91" s="110">
        <v>19109589</v>
      </c>
      <c r="N91" s="85">
        <f>COUNTIF($F$1:F90,F90)</f>
        <v>1</v>
      </c>
    </row>
    <row r="92" spans="1:14" hidden="1">
      <c r="A92" s="80">
        <v>6.2023000000000001</v>
      </c>
      <c r="B92" s="83" t="s">
        <v>267</v>
      </c>
      <c r="C92" s="82">
        <v>45086</v>
      </c>
      <c r="D92" s="83"/>
      <c r="E92" s="100" t="s">
        <v>268</v>
      </c>
      <c r="F92" s="83" t="s">
        <v>275</v>
      </c>
      <c r="G92" s="106">
        <v>-10000000000</v>
      </c>
      <c r="H92" s="84">
        <v>-1</v>
      </c>
      <c r="I92" s="112">
        <v>-10025205479</v>
      </c>
      <c r="J92" s="110">
        <v>0</v>
      </c>
      <c r="K92" s="85">
        <v>0</v>
      </c>
      <c r="L92" s="110">
        <v>10000000000</v>
      </c>
      <c r="M92" s="110">
        <v>25205479</v>
      </c>
      <c r="N92" s="85">
        <f>COUNTIF($F$1:F91,F91)</f>
        <v>2</v>
      </c>
    </row>
    <row r="93" spans="1:14" hidden="1">
      <c r="A93" s="80">
        <v>6.2023000000000001</v>
      </c>
      <c r="B93" s="83" t="s">
        <v>267</v>
      </c>
      <c r="C93" s="82">
        <v>45086</v>
      </c>
      <c r="D93" s="83"/>
      <c r="E93" s="100" t="s">
        <v>268</v>
      </c>
      <c r="F93" s="83" t="s">
        <v>276</v>
      </c>
      <c r="G93" s="106">
        <v>-5000000000</v>
      </c>
      <c r="H93" s="84">
        <v>-1</v>
      </c>
      <c r="I93" s="112">
        <v>-5011342466</v>
      </c>
      <c r="J93" s="110">
        <v>0</v>
      </c>
      <c r="K93" s="85">
        <v>0</v>
      </c>
      <c r="L93" s="110">
        <v>5000000000</v>
      </c>
      <c r="M93" s="110">
        <v>11342466</v>
      </c>
      <c r="N93" s="85">
        <f>COUNTIF($F$1:F92,F92)</f>
        <v>2</v>
      </c>
    </row>
    <row r="94" spans="1:14" hidden="1">
      <c r="A94" s="80">
        <v>6.2023000000000001</v>
      </c>
      <c r="B94" s="83" t="s">
        <v>267</v>
      </c>
      <c r="C94" s="82">
        <v>45086</v>
      </c>
      <c r="D94" s="83"/>
      <c r="E94" s="100" t="s">
        <v>268</v>
      </c>
      <c r="F94" s="83" t="s">
        <v>277</v>
      </c>
      <c r="G94" s="106">
        <v>-3000000000</v>
      </c>
      <c r="H94" s="84">
        <v>-1</v>
      </c>
      <c r="I94" s="112">
        <v>-3006016438</v>
      </c>
      <c r="J94" s="110">
        <v>0</v>
      </c>
      <c r="K94" s="85">
        <v>0</v>
      </c>
      <c r="L94" s="110">
        <v>3000000000</v>
      </c>
      <c r="M94" s="110">
        <v>6016438</v>
      </c>
      <c r="N94" s="85">
        <f>COUNTIF($F$1:F93,F93)</f>
        <v>2</v>
      </c>
    </row>
    <row r="95" spans="1:14" hidden="1">
      <c r="A95" s="80">
        <v>9.2022999999999993</v>
      </c>
      <c r="B95" s="83" t="s">
        <v>273</v>
      </c>
      <c r="C95" s="82">
        <v>45188</v>
      </c>
      <c r="D95" s="83"/>
      <c r="E95" s="83" t="s">
        <v>30</v>
      </c>
      <c r="F95" s="83" t="s">
        <v>30</v>
      </c>
      <c r="G95" s="106">
        <v>-15000000000</v>
      </c>
      <c r="H95" s="84">
        <v>-15</v>
      </c>
      <c r="I95" s="106">
        <v>-15543390405</v>
      </c>
      <c r="J95" s="110">
        <v>35072157540</v>
      </c>
      <c r="K95" s="85">
        <v>35</v>
      </c>
      <c r="L95" s="110">
        <v>1002061644</v>
      </c>
      <c r="M95" s="110">
        <v>512465745</v>
      </c>
      <c r="N95" s="85">
        <f>COUNTIF($F$1:F94,F94)</f>
        <v>2</v>
      </c>
    </row>
    <row r="96" spans="1:14" hidden="1">
      <c r="A96" s="80">
        <v>6.2023000000000001</v>
      </c>
      <c r="B96" s="83" t="s">
        <v>190</v>
      </c>
      <c r="C96" s="82">
        <v>45089</v>
      </c>
      <c r="D96" s="83"/>
      <c r="E96" s="83" t="s">
        <v>191</v>
      </c>
      <c r="F96" s="83" t="s">
        <v>280</v>
      </c>
      <c r="G96" s="106">
        <v>-10000000000</v>
      </c>
      <c r="H96" s="84">
        <v>-1</v>
      </c>
      <c r="I96" s="112">
        <v>-10565698630</v>
      </c>
      <c r="J96" s="110">
        <v>0</v>
      </c>
      <c r="K96" s="85">
        <v>0</v>
      </c>
      <c r="L96" s="110">
        <v>10000000000</v>
      </c>
      <c r="M96" s="110">
        <v>565698630</v>
      </c>
      <c r="N96" s="85">
        <f>COUNTIF($F$1:F95,F95)</f>
        <v>2</v>
      </c>
    </row>
    <row r="97" spans="1:14" hidden="1">
      <c r="A97" s="80">
        <v>6.2023000000000001</v>
      </c>
      <c r="B97" s="83" t="s">
        <v>199</v>
      </c>
      <c r="C97" s="82">
        <v>45092</v>
      </c>
      <c r="D97" s="83"/>
      <c r="E97" s="83" t="s">
        <v>200</v>
      </c>
      <c r="F97" s="83" t="s">
        <v>281</v>
      </c>
      <c r="G97" s="106">
        <v>-50000000000</v>
      </c>
      <c r="H97" s="84">
        <v>-1</v>
      </c>
      <c r="I97" s="112">
        <v>-52892054795</v>
      </c>
      <c r="J97" s="110">
        <v>0</v>
      </c>
      <c r="K97" s="85">
        <v>0</v>
      </c>
      <c r="L97" s="110">
        <v>50000000000</v>
      </c>
      <c r="M97" s="110">
        <v>2892054795</v>
      </c>
      <c r="N97" s="85">
        <f>COUNTIF($F$1:F96,F96)</f>
        <v>1</v>
      </c>
    </row>
    <row r="98" spans="1:14" hidden="1">
      <c r="A98" s="80">
        <v>9.2022999999999993</v>
      </c>
      <c r="B98" s="83" t="s">
        <v>273</v>
      </c>
      <c r="C98" s="82">
        <v>45189</v>
      </c>
      <c r="D98" s="83"/>
      <c r="E98" s="83" t="s">
        <v>30</v>
      </c>
      <c r="F98" s="83" t="s">
        <v>30</v>
      </c>
      <c r="G98" s="106">
        <v>-15000000000</v>
      </c>
      <c r="H98" s="84">
        <v>-15</v>
      </c>
      <c r="I98" s="106">
        <v>-15547808220</v>
      </c>
      <c r="J98" s="110">
        <v>20041232880</v>
      </c>
      <c r="K98" s="85">
        <v>20</v>
      </c>
      <c r="L98" s="110">
        <v>1002061644</v>
      </c>
      <c r="M98" s="110">
        <v>516883560</v>
      </c>
      <c r="N98" s="85">
        <f>COUNTIF($F$1:F97,F97)</f>
        <v>1</v>
      </c>
    </row>
    <row r="99" spans="1:14" hidden="1">
      <c r="A99" s="80">
        <v>9.2022999999999993</v>
      </c>
      <c r="B99" s="83" t="s">
        <v>273</v>
      </c>
      <c r="C99" s="82">
        <v>45194</v>
      </c>
      <c r="D99" s="83"/>
      <c r="E99" s="83" t="s">
        <v>30</v>
      </c>
      <c r="F99" s="83" t="s">
        <v>30</v>
      </c>
      <c r="G99" s="106">
        <v>-20000000000</v>
      </c>
      <c r="H99" s="84">
        <v>-20</v>
      </c>
      <c r="I99" s="106">
        <v>-20759863020</v>
      </c>
      <c r="J99" s="110">
        <v>0</v>
      </c>
      <c r="K99" s="85">
        <v>0</v>
      </c>
      <c r="L99" s="110">
        <v>1002061644</v>
      </c>
      <c r="M99" s="110">
        <v>718630140</v>
      </c>
      <c r="N99" s="85">
        <f>COUNTIF($F$1:F98,F98)</f>
        <v>3</v>
      </c>
    </row>
    <row r="100" spans="1:14" hidden="1">
      <c r="A100" s="80">
        <v>6.2023000000000001</v>
      </c>
      <c r="B100" s="83" t="s">
        <v>190</v>
      </c>
      <c r="C100" s="82">
        <v>45097</v>
      </c>
      <c r="D100" s="83"/>
      <c r="E100" s="83" t="s">
        <v>191</v>
      </c>
      <c r="F100" s="100" t="s">
        <v>282</v>
      </c>
      <c r="G100" s="106">
        <v>-5000000000</v>
      </c>
      <c r="H100" s="84">
        <v>-1</v>
      </c>
      <c r="I100" s="112">
        <v>-5284219178</v>
      </c>
      <c r="J100" s="110">
        <v>0</v>
      </c>
      <c r="K100" s="85">
        <v>0</v>
      </c>
      <c r="L100" s="110">
        <v>5000000000</v>
      </c>
      <c r="M100" s="110">
        <v>284219178</v>
      </c>
      <c r="N100" s="85">
        <f>COUNTIF($F$1:F99,F99)</f>
        <v>4</v>
      </c>
    </row>
    <row r="101" spans="1:14" hidden="1">
      <c r="A101" s="80">
        <v>6.2023000000000001</v>
      </c>
      <c r="B101" s="83" t="s">
        <v>190</v>
      </c>
      <c r="C101" s="82">
        <v>45098</v>
      </c>
      <c r="D101" s="83"/>
      <c r="E101" s="83" t="s">
        <v>191</v>
      </c>
      <c r="F101" s="100" t="s">
        <v>283</v>
      </c>
      <c r="G101" s="106">
        <v>-5000000000</v>
      </c>
      <c r="H101" s="84">
        <v>-1</v>
      </c>
      <c r="I101" s="112">
        <v>-5284219178</v>
      </c>
      <c r="J101" s="110">
        <v>0</v>
      </c>
      <c r="K101" s="85">
        <v>0</v>
      </c>
      <c r="L101" s="110">
        <v>5000000000</v>
      </c>
      <c r="M101" s="110">
        <v>284219178</v>
      </c>
      <c r="N101" s="85">
        <f>COUNTIF($F$1:F100,F100)</f>
        <v>1</v>
      </c>
    </row>
    <row r="102" spans="1:14" hidden="1">
      <c r="A102" s="80">
        <v>6.2023000000000001</v>
      </c>
      <c r="B102" s="83" t="s">
        <v>190</v>
      </c>
      <c r="C102" s="82">
        <v>45099</v>
      </c>
      <c r="D102" s="83"/>
      <c r="E102" s="83" t="s">
        <v>191</v>
      </c>
      <c r="F102" s="100" t="s">
        <v>284</v>
      </c>
      <c r="G102" s="106">
        <v>-5000000000</v>
      </c>
      <c r="H102" s="84">
        <v>-1</v>
      </c>
      <c r="I102" s="112">
        <v>-5289205479</v>
      </c>
      <c r="J102" s="110">
        <v>0</v>
      </c>
      <c r="K102" s="85">
        <v>0</v>
      </c>
      <c r="L102" s="110">
        <v>5000000000</v>
      </c>
      <c r="M102" s="110">
        <v>289205479</v>
      </c>
      <c r="N102" s="85">
        <f>COUNTIF($F$1:F101,F101)</f>
        <v>1</v>
      </c>
    </row>
    <row r="103" spans="1:14" hidden="1">
      <c r="A103" s="80">
        <v>6.2023000000000001</v>
      </c>
      <c r="B103" s="83" t="s">
        <v>190</v>
      </c>
      <c r="C103" s="82">
        <v>45099</v>
      </c>
      <c r="D103" s="83"/>
      <c r="E103" s="83" t="s">
        <v>191</v>
      </c>
      <c r="F103" s="83" t="s">
        <v>285</v>
      </c>
      <c r="G103" s="106">
        <v>-2000000000</v>
      </c>
      <c r="H103" s="84">
        <v>-1</v>
      </c>
      <c r="I103" s="112">
        <v>-2115682192</v>
      </c>
      <c r="J103" s="110">
        <v>0</v>
      </c>
      <c r="K103" s="85">
        <v>0</v>
      </c>
      <c r="L103" s="110">
        <v>2000000000</v>
      </c>
      <c r="M103" s="110">
        <v>115682192</v>
      </c>
      <c r="N103" s="85">
        <f>COUNTIF($F$1:F102,F102)</f>
        <v>1</v>
      </c>
    </row>
    <row r="104" spans="1:14" hidden="1">
      <c r="A104" s="80">
        <v>6.2023000000000001</v>
      </c>
      <c r="B104" s="83" t="s">
        <v>190</v>
      </c>
      <c r="C104" s="82">
        <v>45100</v>
      </c>
      <c r="D104" s="83"/>
      <c r="E104" s="83" t="s">
        <v>191</v>
      </c>
      <c r="F104" s="83" t="s">
        <v>286</v>
      </c>
      <c r="G104" s="106">
        <v>-5000000000</v>
      </c>
      <c r="H104" s="84">
        <v>-1</v>
      </c>
      <c r="I104" s="112">
        <v>-5289205479</v>
      </c>
      <c r="J104" s="110">
        <v>0</v>
      </c>
      <c r="K104" s="85">
        <v>0</v>
      </c>
      <c r="L104" s="110">
        <v>5000000000</v>
      </c>
      <c r="M104" s="110">
        <v>289205479</v>
      </c>
      <c r="N104" s="85">
        <f>COUNTIF($F$1:F103,F103)</f>
        <v>1</v>
      </c>
    </row>
    <row r="105" spans="1:14" hidden="1">
      <c r="A105" s="80">
        <v>6.2023000000000001</v>
      </c>
      <c r="B105" s="83" t="s">
        <v>262</v>
      </c>
      <c r="C105" s="82">
        <v>45103</v>
      </c>
      <c r="D105" s="83"/>
      <c r="E105" s="83" t="s">
        <v>118</v>
      </c>
      <c r="F105" s="83" t="s">
        <v>118</v>
      </c>
      <c r="G105" s="106">
        <v>-100000000000</v>
      </c>
      <c r="H105" s="84">
        <v>-100</v>
      </c>
      <c r="I105" s="112">
        <v>-102214794521</v>
      </c>
      <c r="J105" s="110">
        <v>0</v>
      </c>
      <c r="K105" s="85">
        <v>0</v>
      </c>
      <c r="L105" s="110">
        <v>1009598418.7727846</v>
      </c>
      <c r="M105" s="110">
        <v>1254952643.7215424</v>
      </c>
      <c r="N105" s="85">
        <f>COUNTIF($F$1:F104,F104)</f>
        <v>1</v>
      </c>
    </row>
    <row r="106" spans="1:14" hidden="1">
      <c r="A106" s="80">
        <v>11.202299999999999</v>
      </c>
      <c r="B106" s="81" t="s">
        <v>273</v>
      </c>
      <c r="C106" s="82">
        <v>45252</v>
      </c>
      <c r="D106" s="83"/>
      <c r="E106" s="83" t="s">
        <v>30</v>
      </c>
      <c r="F106" s="83" t="s">
        <v>30</v>
      </c>
      <c r="G106" s="106">
        <v>50000000000</v>
      </c>
      <c r="H106" s="84">
        <v>50</v>
      </c>
      <c r="I106" s="106">
        <v>52559423050</v>
      </c>
      <c r="J106" s="110">
        <v>52559423050</v>
      </c>
      <c r="K106" s="85">
        <v>50</v>
      </c>
      <c r="L106" s="110">
        <v>1051188461</v>
      </c>
      <c r="M106" s="110">
        <v>0</v>
      </c>
      <c r="N106" s="85">
        <f>COUNTIF($F$1:F105,F105)</f>
        <v>1</v>
      </c>
    </row>
    <row r="107" spans="1:14" hidden="1">
      <c r="A107" s="80">
        <v>6.2023000000000001</v>
      </c>
      <c r="B107" s="83" t="s">
        <v>267</v>
      </c>
      <c r="C107" s="82">
        <v>45103</v>
      </c>
      <c r="D107" s="83"/>
      <c r="E107" s="100" t="s">
        <v>268</v>
      </c>
      <c r="F107" s="104" t="s">
        <v>287</v>
      </c>
      <c r="G107" s="106">
        <v>20000000000</v>
      </c>
      <c r="H107" s="84">
        <v>1</v>
      </c>
      <c r="I107" s="112">
        <v>20157972603</v>
      </c>
      <c r="J107" s="110">
        <v>20157972603</v>
      </c>
      <c r="K107" s="85">
        <v>1</v>
      </c>
      <c r="L107" s="110">
        <v>20157972603</v>
      </c>
      <c r="M107" s="110">
        <v>0</v>
      </c>
      <c r="N107" s="85">
        <f>COUNTIF($F$1:F106,F106)</f>
        <v>5</v>
      </c>
    </row>
    <row r="108" spans="1:14" hidden="1">
      <c r="A108" s="80">
        <v>6.2023000000000001</v>
      </c>
      <c r="B108" s="83" t="s">
        <v>267</v>
      </c>
      <c r="C108" s="82">
        <v>45103</v>
      </c>
      <c r="D108" s="83"/>
      <c r="E108" s="100" t="s">
        <v>268</v>
      </c>
      <c r="F108" s="104" t="s">
        <v>288</v>
      </c>
      <c r="G108" s="106">
        <v>30000000000</v>
      </c>
      <c r="H108" s="84">
        <v>1</v>
      </c>
      <c r="I108" s="106">
        <v>30236958904</v>
      </c>
      <c r="J108" s="110">
        <v>30236958904</v>
      </c>
      <c r="K108" s="85">
        <v>1</v>
      </c>
      <c r="L108" s="110">
        <v>30236958904</v>
      </c>
      <c r="M108" s="110">
        <v>0</v>
      </c>
      <c r="N108" s="85">
        <f>COUNTIF($F$1:F107,F107)</f>
        <v>1</v>
      </c>
    </row>
    <row r="109" spans="1:14" hidden="1">
      <c r="A109" s="80">
        <v>6.2023000000000001</v>
      </c>
      <c r="B109" s="103" t="s">
        <v>289</v>
      </c>
      <c r="C109" s="92">
        <v>45103</v>
      </c>
      <c r="D109" s="94"/>
      <c r="E109" s="94" t="s">
        <v>103</v>
      </c>
      <c r="F109" s="94" t="s">
        <v>103</v>
      </c>
      <c r="G109" s="111" t="s">
        <v>238</v>
      </c>
      <c r="H109" s="95"/>
      <c r="I109" s="109">
        <v>-23140000.00026153</v>
      </c>
      <c r="J109" s="109">
        <v>55848599999.999741</v>
      </c>
      <c r="K109" s="90">
        <v>558486</v>
      </c>
      <c r="L109" s="109">
        <v>99999.999999999534</v>
      </c>
      <c r="M109" s="110">
        <v>0</v>
      </c>
      <c r="N109" s="85">
        <f>COUNTIF($F$1:F108,F108)</f>
        <v>1</v>
      </c>
    </row>
    <row r="110" spans="1:14" hidden="1">
      <c r="A110" s="80">
        <v>6.2023000000000001</v>
      </c>
      <c r="B110" s="83" t="s">
        <v>289</v>
      </c>
      <c r="C110" s="82">
        <v>45103</v>
      </c>
      <c r="D110" s="83"/>
      <c r="E110" s="83" t="s">
        <v>103</v>
      </c>
      <c r="F110" s="83" t="s">
        <v>103</v>
      </c>
      <c r="G110" s="106">
        <v>-55848600000</v>
      </c>
      <c r="H110" s="84">
        <v>-558486</v>
      </c>
      <c r="I110" s="106">
        <v>-55848600000</v>
      </c>
      <c r="J110" s="110">
        <v>0</v>
      </c>
      <c r="K110" s="85">
        <v>0</v>
      </c>
      <c r="L110" s="110">
        <v>99999.999999999534</v>
      </c>
      <c r="M110" s="110">
        <v>2.593994140625E-4</v>
      </c>
      <c r="N110" s="85">
        <f>COUNTIF($F$1:F109,F109)</f>
        <v>2</v>
      </c>
    </row>
    <row r="111" spans="1:14" hidden="1">
      <c r="A111" s="80">
        <v>6.2023000000000001</v>
      </c>
      <c r="B111" s="83" t="s">
        <v>271</v>
      </c>
      <c r="C111" s="82">
        <v>45104</v>
      </c>
      <c r="D111" s="83"/>
      <c r="E111" s="83" t="s">
        <v>101</v>
      </c>
      <c r="F111" s="83" t="s">
        <v>101</v>
      </c>
      <c r="G111" s="106">
        <v>-9000000000</v>
      </c>
      <c r="H111" s="84">
        <v>-90</v>
      </c>
      <c r="I111" s="106">
        <v>-9221917808</v>
      </c>
      <c r="J111" s="110">
        <v>12000000000</v>
      </c>
      <c r="K111" s="85">
        <v>120</v>
      </c>
      <c r="L111" s="110">
        <v>100000000</v>
      </c>
      <c r="M111" s="110">
        <v>221917808</v>
      </c>
      <c r="N111" s="85">
        <f>COUNTIF($F$1:F110,F110)</f>
        <v>3</v>
      </c>
    </row>
    <row r="112" spans="1:14" hidden="1">
      <c r="A112" s="80">
        <v>6.2023000000000001</v>
      </c>
      <c r="B112" s="83" t="s">
        <v>199</v>
      </c>
      <c r="C112" s="82">
        <v>45107</v>
      </c>
      <c r="D112" s="83"/>
      <c r="E112" s="83" t="s">
        <v>85</v>
      </c>
      <c r="F112" s="83" t="s">
        <v>290</v>
      </c>
      <c r="G112" s="106">
        <v>100000000000</v>
      </c>
      <c r="H112" s="84">
        <v>1</v>
      </c>
      <c r="I112" s="106">
        <v>100000000000</v>
      </c>
      <c r="J112" s="110">
        <v>100000000000</v>
      </c>
      <c r="K112" s="85">
        <v>1</v>
      </c>
      <c r="L112" s="110">
        <v>100000000000</v>
      </c>
      <c r="M112" s="110">
        <v>0</v>
      </c>
      <c r="N112" s="85">
        <f>COUNTIF($F$1:F111,F111)</f>
        <v>2</v>
      </c>
    </row>
    <row r="113" spans="1:14" hidden="1">
      <c r="A113" s="80">
        <v>7.2023000000000001</v>
      </c>
      <c r="B113" s="83" t="s">
        <v>267</v>
      </c>
      <c r="C113" s="82">
        <v>45110</v>
      </c>
      <c r="D113" s="83"/>
      <c r="E113" s="100" t="s">
        <v>268</v>
      </c>
      <c r="F113" s="83" t="s">
        <v>291</v>
      </c>
      <c r="G113" s="106">
        <v>15000000000</v>
      </c>
      <c r="H113" s="84">
        <v>1</v>
      </c>
      <c r="I113" s="106">
        <v>15000000000</v>
      </c>
      <c r="J113" s="110">
        <v>15000000000</v>
      </c>
      <c r="K113" s="85">
        <v>1</v>
      </c>
      <c r="L113" s="110">
        <v>15000000000</v>
      </c>
      <c r="M113" s="110">
        <v>0</v>
      </c>
      <c r="N113" s="85">
        <f>COUNTIF($F$1:F112,F112)</f>
        <v>1</v>
      </c>
    </row>
    <row r="114" spans="1:14" hidden="1">
      <c r="A114" s="80">
        <v>7.2023000000000001</v>
      </c>
      <c r="B114" s="83" t="s">
        <v>267</v>
      </c>
      <c r="C114" s="82">
        <v>45110</v>
      </c>
      <c r="D114" s="83"/>
      <c r="E114" s="100" t="s">
        <v>268</v>
      </c>
      <c r="F114" s="83" t="s">
        <v>292</v>
      </c>
      <c r="G114" s="106">
        <v>20000000000</v>
      </c>
      <c r="H114" s="84">
        <v>1</v>
      </c>
      <c r="I114" s="106">
        <v>20000000000</v>
      </c>
      <c r="J114" s="110">
        <v>20000000000</v>
      </c>
      <c r="K114" s="85">
        <v>1</v>
      </c>
      <c r="L114" s="110">
        <v>20000000000</v>
      </c>
      <c r="M114" s="110">
        <v>0</v>
      </c>
      <c r="N114" s="85">
        <f>COUNTIF($F$1:F113,F113)</f>
        <v>1</v>
      </c>
    </row>
    <row r="115" spans="1:14" hidden="1">
      <c r="A115" s="80">
        <v>7.2023000000000001</v>
      </c>
      <c r="B115" s="83" t="s">
        <v>262</v>
      </c>
      <c r="C115" s="82">
        <v>45112</v>
      </c>
      <c r="D115" s="83"/>
      <c r="E115" s="83" t="s">
        <v>119</v>
      </c>
      <c r="F115" s="83" t="s">
        <v>119</v>
      </c>
      <c r="G115" s="106">
        <v>-200000000000</v>
      </c>
      <c r="H115" s="84">
        <v>-200</v>
      </c>
      <c r="I115" s="106">
        <v>-204288219178</v>
      </c>
      <c r="J115" s="110">
        <v>0</v>
      </c>
      <c r="K115" s="85">
        <v>0</v>
      </c>
      <c r="L115" s="110">
        <v>1000000000</v>
      </c>
      <c r="M115" s="110">
        <v>4288219178</v>
      </c>
      <c r="N115" s="85">
        <f>COUNTIF($F$1:F114,F114)</f>
        <v>1</v>
      </c>
    </row>
    <row r="116" spans="1:14" hidden="1">
      <c r="A116" s="80">
        <v>7.2023000000000001</v>
      </c>
      <c r="B116" s="83" t="s">
        <v>199</v>
      </c>
      <c r="C116" s="82">
        <v>45112</v>
      </c>
      <c r="D116" s="83"/>
      <c r="E116" s="83" t="s">
        <v>200</v>
      </c>
      <c r="F116" s="83" t="s">
        <v>293</v>
      </c>
      <c r="G116" s="106">
        <v>70000000000</v>
      </c>
      <c r="H116" s="84">
        <v>1</v>
      </c>
      <c r="I116" s="106">
        <v>70000000000</v>
      </c>
      <c r="J116" s="110">
        <v>70000000000</v>
      </c>
      <c r="K116" s="85">
        <v>1</v>
      </c>
      <c r="L116" s="110">
        <v>70000000000</v>
      </c>
      <c r="M116" s="110">
        <v>0</v>
      </c>
      <c r="N116" s="85">
        <f>COUNTIF($F$1:F115,F115)</f>
        <v>1</v>
      </c>
    </row>
    <row r="117" spans="1:14" hidden="1">
      <c r="A117" s="80">
        <v>7.2023000000000001</v>
      </c>
      <c r="B117" s="83" t="s">
        <v>271</v>
      </c>
      <c r="C117" s="82">
        <v>45114</v>
      </c>
      <c r="D117" s="83"/>
      <c r="E117" s="83" t="s">
        <v>100</v>
      </c>
      <c r="F117" s="83" t="s">
        <v>100</v>
      </c>
      <c r="G117" s="106">
        <v>-1500000000</v>
      </c>
      <c r="H117" s="84">
        <v>-15</v>
      </c>
      <c r="I117" s="106">
        <v>-1537602740</v>
      </c>
      <c r="J117" s="110">
        <v>2000000000</v>
      </c>
      <c r="K117" s="85">
        <v>20</v>
      </c>
      <c r="L117" s="110">
        <v>100000000</v>
      </c>
      <c r="M117" s="110">
        <v>37602740</v>
      </c>
      <c r="N117" s="85">
        <f>COUNTIF($F$1:F116,F116)</f>
        <v>1</v>
      </c>
    </row>
    <row r="118" spans="1:14" hidden="1">
      <c r="A118" s="80">
        <v>7.2023000000000001</v>
      </c>
      <c r="B118" s="83" t="s">
        <v>294</v>
      </c>
      <c r="C118" s="82">
        <v>45114</v>
      </c>
      <c r="D118" s="83"/>
      <c r="E118" s="83" t="s">
        <v>295</v>
      </c>
      <c r="F118" s="83" t="s">
        <v>34</v>
      </c>
      <c r="G118" s="106">
        <v>50000000000</v>
      </c>
      <c r="H118" s="84">
        <v>500</v>
      </c>
      <c r="I118" s="106">
        <v>50000000000</v>
      </c>
      <c r="J118" s="110">
        <v>50000000000</v>
      </c>
      <c r="K118" s="85">
        <v>500</v>
      </c>
      <c r="L118" s="110">
        <v>100000000</v>
      </c>
      <c r="M118" s="110">
        <v>0</v>
      </c>
      <c r="N118" s="85">
        <f>COUNTIF($F$1:F117,F117)</f>
        <v>3</v>
      </c>
    </row>
    <row r="119" spans="1:14" hidden="1">
      <c r="A119" s="80">
        <v>7.2023000000000001</v>
      </c>
      <c r="B119" s="83" t="s">
        <v>199</v>
      </c>
      <c r="C119" s="82">
        <v>45117</v>
      </c>
      <c r="D119" s="83"/>
      <c r="E119" s="83" t="s">
        <v>200</v>
      </c>
      <c r="F119" s="83" t="s">
        <v>201</v>
      </c>
      <c r="G119" s="106">
        <v>-18000000000</v>
      </c>
      <c r="H119" s="84">
        <v>-1</v>
      </c>
      <c r="I119" s="106">
        <v>-19035419178</v>
      </c>
      <c r="J119" s="110">
        <v>0</v>
      </c>
      <c r="K119" s="85">
        <v>0</v>
      </c>
      <c r="L119" s="110">
        <v>18000000000</v>
      </c>
      <c r="M119" s="110">
        <v>1035419178</v>
      </c>
      <c r="N119" s="85">
        <f>COUNTIF($F$1:F118,F118)</f>
        <v>1</v>
      </c>
    </row>
    <row r="120" spans="1:14" hidden="1">
      <c r="A120" s="80">
        <v>7.2023000000000001</v>
      </c>
      <c r="B120" s="83" t="s">
        <v>296</v>
      </c>
      <c r="C120" s="82">
        <v>45117</v>
      </c>
      <c r="D120" s="83"/>
      <c r="E120" s="83" t="s">
        <v>297</v>
      </c>
      <c r="F120" s="83" t="s">
        <v>36</v>
      </c>
      <c r="G120" s="106">
        <v>100000000000</v>
      </c>
      <c r="H120" s="84">
        <v>100</v>
      </c>
      <c r="I120" s="106">
        <v>100000000000</v>
      </c>
      <c r="J120" s="110">
        <v>100000000000</v>
      </c>
      <c r="K120" s="85">
        <v>100</v>
      </c>
      <c r="L120" s="110">
        <v>1000000000</v>
      </c>
      <c r="M120" s="110">
        <v>0</v>
      </c>
      <c r="N120" s="85">
        <f>COUNTIF($F$1:F119,F119)</f>
        <v>2</v>
      </c>
    </row>
    <row r="121" spans="1:14">
      <c r="A121" s="80">
        <v>4.2023000000000001</v>
      </c>
      <c r="B121" s="81" t="s">
        <v>298</v>
      </c>
      <c r="C121" s="82">
        <v>45026</v>
      </c>
      <c r="D121" s="98"/>
      <c r="E121" s="99" t="s">
        <v>23</v>
      </c>
      <c r="F121" s="99" t="s">
        <v>23</v>
      </c>
      <c r="G121" s="110">
        <v>-3000000000</v>
      </c>
      <c r="H121" s="85">
        <v>-30000</v>
      </c>
      <c r="I121" s="110">
        <v>-3000000000</v>
      </c>
      <c r="J121" s="110">
        <v>7000000000</v>
      </c>
      <c r="K121" s="85">
        <v>70000</v>
      </c>
      <c r="L121" s="110">
        <v>100000</v>
      </c>
      <c r="M121" s="110">
        <v>0</v>
      </c>
      <c r="N121" s="85">
        <f>COUNTIF($F$1:F120,F120)</f>
        <v>1</v>
      </c>
    </row>
    <row r="122" spans="1:14" hidden="1">
      <c r="A122" s="80">
        <v>7.2023000000000001</v>
      </c>
      <c r="B122" s="83" t="s">
        <v>199</v>
      </c>
      <c r="C122" s="82">
        <v>45118</v>
      </c>
      <c r="D122" s="83"/>
      <c r="E122" s="83" t="s">
        <v>200</v>
      </c>
      <c r="F122" s="83" t="s">
        <v>202</v>
      </c>
      <c r="G122" s="106">
        <v>-10000000000</v>
      </c>
      <c r="H122" s="84">
        <v>-1</v>
      </c>
      <c r="I122" s="106">
        <v>-10575232877</v>
      </c>
      <c r="J122" s="110">
        <v>0</v>
      </c>
      <c r="K122" s="85">
        <v>0</v>
      </c>
      <c r="L122" s="110">
        <v>10000000000</v>
      </c>
      <c r="M122" s="110">
        <v>575232877</v>
      </c>
      <c r="N122" s="85">
        <f>COUNTIF($F$1:F121,F121)</f>
        <v>1</v>
      </c>
    </row>
    <row r="123" spans="1:14" hidden="1">
      <c r="A123" s="80">
        <v>7.2023000000000001</v>
      </c>
      <c r="B123" s="83" t="s">
        <v>271</v>
      </c>
      <c r="C123" s="82">
        <v>45118</v>
      </c>
      <c r="D123" s="83"/>
      <c r="E123" s="83" t="s">
        <v>101</v>
      </c>
      <c r="F123" s="83" t="s">
        <v>101</v>
      </c>
      <c r="G123" s="106">
        <v>-12000000000</v>
      </c>
      <c r="H123" s="84">
        <v>-120</v>
      </c>
      <c r="I123" s="106">
        <v>-12364931507</v>
      </c>
      <c r="J123" s="110">
        <v>0</v>
      </c>
      <c r="K123" s="85">
        <v>0</v>
      </c>
      <c r="L123" s="110">
        <v>100000000</v>
      </c>
      <c r="M123" s="110">
        <v>364931507</v>
      </c>
      <c r="N123" s="85">
        <f>COUNTIF($F$1:F122,F122)</f>
        <v>2</v>
      </c>
    </row>
    <row r="124" spans="1:14" hidden="1">
      <c r="A124" s="80">
        <v>7.2023000000000001</v>
      </c>
      <c r="B124" s="83" t="s">
        <v>262</v>
      </c>
      <c r="C124" s="82">
        <v>45118</v>
      </c>
      <c r="D124" s="83"/>
      <c r="E124" s="83" t="s">
        <v>299</v>
      </c>
      <c r="F124" s="83" t="s">
        <v>300</v>
      </c>
      <c r="G124" s="106">
        <v>20000000000</v>
      </c>
      <c r="H124" s="84">
        <v>1</v>
      </c>
      <c r="I124" s="106">
        <v>20000000000</v>
      </c>
      <c r="J124" s="110">
        <v>20000000000</v>
      </c>
      <c r="K124" s="85">
        <v>1</v>
      </c>
      <c r="L124" s="110">
        <v>20000000000</v>
      </c>
      <c r="M124" s="110">
        <v>0</v>
      </c>
      <c r="N124" s="85">
        <f>COUNTIF($F$1:F123,F123)</f>
        <v>3</v>
      </c>
    </row>
    <row r="125" spans="1:14" hidden="1">
      <c r="A125" s="80">
        <v>7.2023000000000001</v>
      </c>
      <c r="B125" s="83" t="s">
        <v>204</v>
      </c>
      <c r="C125" s="82">
        <v>45119</v>
      </c>
      <c r="D125" s="83"/>
      <c r="E125" s="83" t="s">
        <v>205</v>
      </c>
      <c r="F125" s="83" t="s">
        <v>206</v>
      </c>
      <c r="G125" s="106">
        <v>-50000000000</v>
      </c>
      <c r="H125" s="84">
        <v>-1</v>
      </c>
      <c r="I125" s="106">
        <v>-52603424660</v>
      </c>
      <c r="J125" s="110">
        <v>0</v>
      </c>
      <c r="K125" s="85">
        <v>0</v>
      </c>
      <c r="L125" s="110">
        <v>50000000000</v>
      </c>
      <c r="M125" s="110">
        <v>2603424660</v>
      </c>
      <c r="N125" s="85">
        <f>COUNTIF($F$1:F124,F124)</f>
        <v>1</v>
      </c>
    </row>
    <row r="126" spans="1:14" hidden="1">
      <c r="A126" s="80">
        <v>7.2023000000000001</v>
      </c>
      <c r="B126" s="83" t="s">
        <v>262</v>
      </c>
      <c r="C126" s="82">
        <v>45119</v>
      </c>
      <c r="D126" s="83"/>
      <c r="E126" s="83" t="s">
        <v>299</v>
      </c>
      <c r="F126" s="83" t="s">
        <v>301</v>
      </c>
      <c r="G126" s="106">
        <v>30000000000</v>
      </c>
      <c r="H126" s="84">
        <v>1</v>
      </c>
      <c r="I126" s="106">
        <v>30000000000</v>
      </c>
      <c r="J126" s="110">
        <v>30000000000</v>
      </c>
      <c r="K126" s="85">
        <v>1</v>
      </c>
      <c r="L126" s="110">
        <v>30000000000</v>
      </c>
      <c r="M126" s="110">
        <v>0</v>
      </c>
      <c r="N126" s="85">
        <f>COUNTIF($F$1:F125,F125)</f>
        <v>2</v>
      </c>
    </row>
    <row r="127" spans="1:14" hidden="1">
      <c r="A127" s="80">
        <v>7.2023000000000001</v>
      </c>
      <c r="B127" s="83" t="s">
        <v>262</v>
      </c>
      <c r="C127" s="82">
        <v>45119</v>
      </c>
      <c r="D127" s="83"/>
      <c r="E127" s="83" t="s">
        <v>299</v>
      </c>
      <c r="F127" s="83" t="s">
        <v>302</v>
      </c>
      <c r="G127" s="106">
        <v>38000000000</v>
      </c>
      <c r="H127" s="84">
        <v>1</v>
      </c>
      <c r="I127" s="106">
        <v>38000000000</v>
      </c>
      <c r="J127" s="110">
        <v>38000000000</v>
      </c>
      <c r="K127" s="85">
        <v>1</v>
      </c>
      <c r="L127" s="110">
        <v>38000000000</v>
      </c>
      <c r="M127" s="110">
        <v>0</v>
      </c>
      <c r="N127" s="85">
        <f>COUNTIF($F$1:F126,F126)</f>
        <v>1</v>
      </c>
    </row>
    <row r="128" spans="1:14" hidden="1">
      <c r="A128" s="80">
        <v>7.2023000000000001</v>
      </c>
      <c r="B128" s="83" t="s">
        <v>208</v>
      </c>
      <c r="C128" s="82">
        <v>45120</v>
      </c>
      <c r="D128" s="83"/>
      <c r="E128" s="83" t="s">
        <v>209</v>
      </c>
      <c r="F128" s="83" t="s">
        <v>210</v>
      </c>
      <c r="G128" s="106">
        <v>-50000000000</v>
      </c>
      <c r="H128" s="84">
        <v>-1</v>
      </c>
      <c r="I128" s="106">
        <v>-52603424658</v>
      </c>
      <c r="J128" s="110">
        <v>0</v>
      </c>
      <c r="K128" s="85">
        <v>0</v>
      </c>
      <c r="L128" s="110">
        <v>50000000000</v>
      </c>
      <c r="M128" s="110">
        <v>2603424658</v>
      </c>
      <c r="N128" s="85">
        <f>COUNTIF($F$1:F127,F127)</f>
        <v>1</v>
      </c>
    </row>
    <row r="129" spans="1:14" hidden="1">
      <c r="A129" s="80">
        <v>7.2023000000000001</v>
      </c>
      <c r="B129" s="83" t="s">
        <v>294</v>
      </c>
      <c r="C129" s="82">
        <v>45120</v>
      </c>
      <c r="D129" s="83"/>
      <c r="E129" s="83" t="s">
        <v>295</v>
      </c>
      <c r="F129" s="83" t="s">
        <v>35</v>
      </c>
      <c r="G129" s="106">
        <v>50000000000</v>
      </c>
      <c r="H129" s="84">
        <v>500</v>
      </c>
      <c r="I129" s="106">
        <v>50000000000</v>
      </c>
      <c r="J129" s="110">
        <v>50000000000</v>
      </c>
      <c r="K129" s="85">
        <v>500</v>
      </c>
      <c r="L129" s="110">
        <v>100000000</v>
      </c>
      <c r="M129" s="110">
        <v>0</v>
      </c>
      <c r="N129" s="85">
        <f>COUNTIF($F$1:F128,F128)</f>
        <v>2</v>
      </c>
    </row>
    <row r="130" spans="1:14" hidden="1">
      <c r="A130" s="80">
        <v>7.2023000000000001</v>
      </c>
      <c r="B130" s="83" t="s">
        <v>208</v>
      </c>
      <c r="C130" s="82">
        <v>45124</v>
      </c>
      <c r="D130" s="83"/>
      <c r="E130" s="83" t="s">
        <v>209</v>
      </c>
      <c r="F130" s="83" t="s">
        <v>225</v>
      </c>
      <c r="G130" s="106">
        <v>-10000000000</v>
      </c>
      <c r="H130" s="84">
        <v>-1</v>
      </c>
      <c r="I130" s="106">
        <v>-10523561644</v>
      </c>
      <c r="J130" s="110">
        <v>0</v>
      </c>
      <c r="K130" s="85">
        <v>0</v>
      </c>
      <c r="L130" s="110">
        <v>10000000000</v>
      </c>
      <c r="M130" s="110">
        <v>523561644</v>
      </c>
      <c r="N130" s="85">
        <f>COUNTIF($F$1:F129,F129)</f>
        <v>1</v>
      </c>
    </row>
    <row r="131" spans="1:14" hidden="1">
      <c r="A131" s="80">
        <v>7.2023000000000001</v>
      </c>
      <c r="B131" s="83" t="s">
        <v>262</v>
      </c>
      <c r="C131" s="82">
        <v>45124</v>
      </c>
      <c r="D131" s="83"/>
      <c r="E131" s="83" t="s">
        <v>299</v>
      </c>
      <c r="F131" s="83" t="s">
        <v>303</v>
      </c>
      <c r="G131" s="106">
        <v>12000000000</v>
      </c>
      <c r="H131" s="84">
        <v>1</v>
      </c>
      <c r="I131" s="106">
        <v>12000000000</v>
      </c>
      <c r="J131" s="110">
        <v>12000000000</v>
      </c>
      <c r="K131" s="85">
        <v>1</v>
      </c>
      <c r="L131" s="110">
        <v>12000000000</v>
      </c>
      <c r="M131" s="110">
        <v>0</v>
      </c>
      <c r="N131" s="85">
        <f>COUNTIF($F$1:F130,F130)</f>
        <v>2</v>
      </c>
    </row>
    <row r="132" spans="1:14" hidden="1">
      <c r="A132" s="80">
        <v>7.2023000000000001</v>
      </c>
      <c r="B132" s="83" t="s">
        <v>208</v>
      </c>
      <c r="C132" s="82">
        <v>45124</v>
      </c>
      <c r="D132" s="83"/>
      <c r="E132" s="83" t="s">
        <v>209</v>
      </c>
      <c r="F132" s="83" t="s">
        <v>304</v>
      </c>
      <c r="G132" s="106">
        <v>3000000000</v>
      </c>
      <c r="H132" s="84">
        <v>1</v>
      </c>
      <c r="I132" s="106">
        <v>3000000000</v>
      </c>
      <c r="J132" s="110">
        <v>3000000000</v>
      </c>
      <c r="K132" s="85">
        <v>1</v>
      </c>
      <c r="L132" s="110">
        <v>3000000000</v>
      </c>
      <c r="M132" s="110">
        <v>0</v>
      </c>
      <c r="N132" s="85">
        <f>COUNTIF($F$1:F131,F131)</f>
        <v>1</v>
      </c>
    </row>
    <row r="133" spans="1:14" hidden="1">
      <c r="A133" s="80">
        <v>7.2023000000000001</v>
      </c>
      <c r="B133" s="83" t="s">
        <v>199</v>
      </c>
      <c r="C133" s="82">
        <v>45125</v>
      </c>
      <c r="D133" s="83"/>
      <c r="E133" s="83" t="s">
        <v>200</v>
      </c>
      <c r="F133" s="83" t="s">
        <v>227</v>
      </c>
      <c r="G133" s="106">
        <v>-18000000000</v>
      </c>
      <c r="H133" s="84">
        <v>-1</v>
      </c>
      <c r="I133" s="106">
        <v>-19035419178</v>
      </c>
      <c r="J133" s="110">
        <v>0</v>
      </c>
      <c r="K133" s="85">
        <v>0</v>
      </c>
      <c r="L133" s="110">
        <v>18000000000</v>
      </c>
      <c r="M133" s="110">
        <v>1035419178</v>
      </c>
      <c r="N133" s="85">
        <f>COUNTIF($F$1:F132,F132)</f>
        <v>1</v>
      </c>
    </row>
    <row r="134" spans="1:14" hidden="1">
      <c r="A134" s="80">
        <v>7.2023000000000001</v>
      </c>
      <c r="B134" s="83" t="s">
        <v>208</v>
      </c>
      <c r="C134" s="82">
        <v>45125</v>
      </c>
      <c r="D134" s="83"/>
      <c r="E134" s="83" t="s">
        <v>209</v>
      </c>
      <c r="F134" s="83" t="s">
        <v>228</v>
      </c>
      <c r="G134" s="106">
        <v>-20000000000</v>
      </c>
      <c r="H134" s="84">
        <v>-1</v>
      </c>
      <c r="I134" s="106">
        <v>-21041369863</v>
      </c>
      <c r="J134" s="110">
        <v>0</v>
      </c>
      <c r="K134" s="85">
        <v>0</v>
      </c>
      <c r="L134" s="110">
        <v>20000000000</v>
      </c>
      <c r="M134" s="110">
        <v>1041369863</v>
      </c>
      <c r="N134" s="85">
        <f>COUNTIF($F$1:F133,F133)</f>
        <v>2</v>
      </c>
    </row>
    <row r="135" spans="1:14" hidden="1">
      <c r="A135" s="80">
        <v>7.2023000000000001</v>
      </c>
      <c r="B135" s="83" t="s">
        <v>199</v>
      </c>
      <c r="C135" s="82">
        <v>45125</v>
      </c>
      <c r="D135" s="83"/>
      <c r="E135" s="83" t="s">
        <v>200</v>
      </c>
      <c r="F135" s="83" t="s">
        <v>231</v>
      </c>
      <c r="G135" s="106">
        <v>-14700000000</v>
      </c>
      <c r="H135" s="84">
        <v>-1</v>
      </c>
      <c r="I135" s="106">
        <v>-15545592329</v>
      </c>
      <c r="J135" s="110">
        <v>0</v>
      </c>
      <c r="K135" s="85">
        <v>0</v>
      </c>
      <c r="L135" s="110">
        <v>14756061370</v>
      </c>
      <c r="M135" s="110">
        <v>789530959</v>
      </c>
      <c r="N135" s="85">
        <f>COUNTIF($F$1:F134,F134)</f>
        <v>2</v>
      </c>
    </row>
    <row r="136" spans="1:14" hidden="1">
      <c r="A136" s="80">
        <v>7.2023000000000001</v>
      </c>
      <c r="B136" s="83" t="s">
        <v>199</v>
      </c>
      <c r="C136" s="82">
        <v>45125</v>
      </c>
      <c r="D136" s="83"/>
      <c r="E136" s="83" t="s">
        <v>200</v>
      </c>
      <c r="F136" s="83" t="s">
        <v>232</v>
      </c>
      <c r="G136" s="106">
        <v>-7000000000</v>
      </c>
      <c r="H136" s="84">
        <v>-1</v>
      </c>
      <c r="I136" s="106">
        <v>-7402663014</v>
      </c>
      <c r="J136" s="110">
        <v>0</v>
      </c>
      <c r="K136" s="85">
        <v>0</v>
      </c>
      <c r="L136" s="110">
        <v>7026695890</v>
      </c>
      <c r="M136" s="110">
        <v>375967124</v>
      </c>
      <c r="N136" s="85">
        <f>COUNTIF($F$1:F135,F135)</f>
        <v>2</v>
      </c>
    </row>
    <row r="137" spans="1:14" hidden="1">
      <c r="A137" s="80">
        <v>7.2023000000000001</v>
      </c>
      <c r="B137" s="83" t="s">
        <v>208</v>
      </c>
      <c r="C137" s="82">
        <v>45125</v>
      </c>
      <c r="D137" s="83"/>
      <c r="E137" s="83" t="s">
        <v>209</v>
      </c>
      <c r="F137" s="83" t="s">
        <v>305</v>
      </c>
      <c r="G137" s="106">
        <v>20000000000</v>
      </c>
      <c r="H137" s="84">
        <v>1</v>
      </c>
      <c r="I137" s="106">
        <v>20000000000</v>
      </c>
      <c r="J137" s="110">
        <v>20000000000</v>
      </c>
      <c r="K137" s="85">
        <v>1</v>
      </c>
      <c r="L137" s="110">
        <v>20000000000</v>
      </c>
      <c r="M137" s="110">
        <v>0</v>
      </c>
      <c r="N137" s="85">
        <f>COUNTIF($F$1:F136,F136)</f>
        <v>2</v>
      </c>
    </row>
    <row r="138" spans="1:14" hidden="1">
      <c r="A138" s="80">
        <v>7.2023000000000001</v>
      </c>
      <c r="B138" s="83" t="s">
        <v>208</v>
      </c>
      <c r="C138" s="82">
        <v>45125</v>
      </c>
      <c r="D138" s="83"/>
      <c r="E138" s="83" t="s">
        <v>209</v>
      </c>
      <c r="F138" s="83" t="s">
        <v>306</v>
      </c>
      <c r="G138" s="106">
        <v>20000000000</v>
      </c>
      <c r="H138" s="84">
        <v>1</v>
      </c>
      <c r="I138" s="106">
        <v>20000000000</v>
      </c>
      <c r="J138" s="110">
        <v>20000000000</v>
      </c>
      <c r="K138" s="85">
        <v>1</v>
      </c>
      <c r="L138" s="110">
        <v>20000000000</v>
      </c>
      <c r="M138" s="110">
        <v>0</v>
      </c>
      <c r="N138" s="85">
        <f>COUNTIF($F$1:F137,F137)</f>
        <v>1</v>
      </c>
    </row>
    <row r="139" spans="1:14" hidden="1">
      <c r="A139" s="80">
        <v>7.2023000000000001</v>
      </c>
      <c r="B139" s="83" t="s">
        <v>208</v>
      </c>
      <c r="C139" s="82">
        <v>45125</v>
      </c>
      <c r="D139" s="83"/>
      <c r="E139" s="83" t="s">
        <v>209</v>
      </c>
      <c r="F139" s="83" t="s">
        <v>307</v>
      </c>
      <c r="G139" s="106">
        <v>21000000000</v>
      </c>
      <c r="H139" s="84">
        <v>1</v>
      </c>
      <c r="I139" s="106">
        <v>21000000000</v>
      </c>
      <c r="J139" s="110">
        <v>21000000000</v>
      </c>
      <c r="K139" s="85">
        <v>1</v>
      </c>
      <c r="L139" s="110">
        <v>21000000000</v>
      </c>
      <c r="M139" s="110">
        <v>0</v>
      </c>
      <c r="N139" s="85">
        <f>COUNTIF($F$1:F138,F138)</f>
        <v>1</v>
      </c>
    </row>
    <row r="140" spans="1:14" hidden="1">
      <c r="A140" s="80">
        <v>7.2023000000000001</v>
      </c>
      <c r="B140" s="83" t="s">
        <v>271</v>
      </c>
      <c r="C140" s="82">
        <v>45126</v>
      </c>
      <c r="D140" s="83"/>
      <c r="E140" s="83" t="s">
        <v>100</v>
      </c>
      <c r="F140" s="83" t="s">
        <v>100</v>
      </c>
      <c r="G140" s="106">
        <v>-2000000000</v>
      </c>
      <c r="H140" s="84">
        <v>-20</v>
      </c>
      <c r="I140" s="106">
        <v>-2060000000</v>
      </c>
      <c r="J140" s="110">
        <v>0</v>
      </c>
      <c r="K140" s="85">
        <v>0</v>
      </c>
      <c r="L140" s="110">
        <v>100000000</v>
      </c>
      <c r="M140" s="110">
        <v>60000000</v>
      </c>
      <c r="N140" s="85">
        <f>COUNTIF($F$1:F139,F139)</f>
        <v>1</v>
      </c>
    </row>
    <row r="141" spans="1:14" hidden="1">
      <c r="A141" s="80">
        <v>7.2023000000000001</v>
      </c>
      <c r="B141" s="83" t="s">
        <v>208</v>
      </c>
      <c r="C141" s="82">
        <v>45127</v>
      </c>
      <c r="D141" s="83"/>
      <c r="E141" s="83" t="s">
        <v>209</v>
      </c>
      <c r="F141" s="83" t="s">
        <v>308</v>
      </c>
      <c r="G141" s="106">
        <v>25000000000</v>
      </c>
      <c r="H141" s="84">
        <v>1</v>
      </c>
      <c r="I141" s="106">
        <v>25000000000</v>
      </c>
      <c r="J141" s="110">
        <v>25000000000</v>
      </c>
      <c r="K141" s="85">
        <v>1</v>
      </c>
      <c r="L141" s="110">
        <v>25000000000</v>
      </c>
      <c r="M141" s="110">
        <v>0</v>
      </c>
      <c r="N141" s="85">
        <f>COUNTIF($F$1:F140,F140)</f>
        <v>4</v>
      </c>
    </row>
    <row r="142" spans="1:14" hidden="1">
      <c r="A142" s="80">
        <v>7.2023000000000001</v>
      </c>
      <c r="B142" s="83" t="s">
        <v>220</v>
      </c>
      <c r="C142" s="82">
        <v>45138</v>
      </c>
      <c r="D142" s="83"/>
      <c r="E142" s="83" t="s">
        <v>221</v>
      </c>
      <c r="F142" s="83" t="s">
        <v>239</v>
      </c>
      <c r="G142" s="106">
        <v>-5000000000</v>
      </c>
      <c r="H142" s="84">
        <v>-1</v>
      </c>
      <c r="I142" s="106">
        <v>-5265301370</v>
      </c>
      <c r="J142" s="110">
        <v>0</v>
      </c>
      <c r="K142" s="85">
        <v>0</v>
      </c>
      <c r="L142" s="110">
        <v>5002931507</v>
      </c>
      <c r="M142" s="110">
        <v>262369863</v>
      </c>
      <c r="N142" s="85">
        <f>COUNTIF($F$1:F141,F141)</f>
        <v>1</v>
      </c>
    </row>
    <row r="143" spans="1:14" hidden="1">
      <c r="A143" s="80">
        <v>7.2023000000000001</v>
      </c>
      <c r="B143" s="83" t="s">
        <v>220</v>
      </c>
      <c r="C143" s="82">
        <v>45138</v>
      </c>
      <c r="D143" s="83"/>
      <c r="E143" s="83" t="s">
        <v>221</v>
      </c>
      <c r="F143" s="83" t="s">
        <v>240</v>
      </c>
      <c r="G143" s="106">
        <v>-5000000000</v>
      </c>
      <c r="H143" s="84">
        <v>-1</v>
      </c>
      <c r="I143" s="106">
        <v>-5265301370</v>
      </c>
      <c r="J143" s="110">
        <v>0</v>
      </c>
      <c r="K143" s="85">
        <v>0</v>
      </c>
      <c r="L143" s="110">
        <v>5002931507</v>
      </c>
      <c r="M143" s="110">
        <v>262369863</v>
      </c>
      <c r="N143" s="85">
        <f>COUNTIF($F$1:F142,F142)</f>
        <v>2</v>
      </c>
    </row>
    <row r="144" spans="1:14" hidden="1">
      <c r="A144" s="80">
        <v>7.2023000000000001</v>
      </c>
      <c r="B144" s="83" t="s">
        <v>220</v>
      </c>
      <c r="C144" s="82">
        <v>45138</v>
      </c>
      <c r="D144" s="83"/>
      <c r="E144" s="83" t="s">
        <v>221</v>
      </c>
      <c r="F144" s="83" t="s">
        <v>241</v>
      </c>
      <c r="G144" s="106">
        <v>-5000000000</v>
      </c>
      <c r="H144" s="84">
        <v>-1</v>
      </c>
      <c r="I144" s="106">
        <v>-5265301370</v>
      </c>
      <c r="J144" s="110">
        <v>0</v>
      </c>
      <c r="K144" s="85">
        <v>0</v>
      </c>
      <c r="L144" s="110">
        <v>5002931507</v>
      </c>
      <c r="M144" s="110">
        <v>262369863</v>
      </c>
      <c r="N144" s="85">
        <f>COUNTIF($F$1:F143,F143)</f>
        <v>2</v>
      </c>
    </row>
    <row r="145" spans="1:14" hidden="1">
      <c r="A145" s="80">
        <v>7.2023000000000001</v>
      </c>
      <c r="B145" s="83" t="s">
        <v>220</v>
      </c>
      <c r="C145" s="82">
        <v>45138</v>
      </c>
      <c r="D145" s="83"/>
      <c r="E145" s="83" t="s">
        <v>221</v>
      </c>
      <c r="F145" s="83" t="s">
        <v>242</v>
      </c>
      <c r="G145" s="106">
        <v>-5000000000</v>
      </c>
      <c r="H145" s="84">
        <v>-1</v>
      </c>
      <c r="I145" s="106">
        <v>-5265301370</v>
      </c>
      <c r="J145" s="110">
        <v>0</v>
      </c>
      <c r="K145" s="85">
        <v>0</v>
      </c>
      <c r="L145" s="110">
        <v>5002931507</v>
      </c>
      <c r="M145" s="110">
        <v>262369863</v>
      </c>
      <c r="N145" s="85">
        <f>COUNTIF($F$1:F144,F144)</f>
        <v>2</v>
      </c>
    </row>
    <row r="146" spans="1:14" hidden="1">
      <c r="A146" s="80">
        <v>7.2023000000000001</v>
      </c>
      <c r="B146" s="83" t="s">
        <v>220</v>
      </c>
      <c r="C146" s="82">
        <v>45138</v>
      </c>
      <c r="D146" s="83"/>
      <c r="E146" s="83" t="s">
        <v>221</v>
      </c>
      <c r="F146" s="83" t="s">
        <v>243</v>
      </c>
      <c r="G146" s="106">
        <v>-5000000000</v>
      </c>
      <c r="H146" s="84">
        <v>-1</v>
      </c>
      <c r="I146" s="106">
        <v>-5265301370</v>
      </c>
      <c r="J146" s="110">
        <v>0</v>
      </c>
      <c r="K146" s="85">
        <v>0</v>
      </c>
      <c r="L146" s="110">
        <v>5002931507</v>
      </c>
      <c r="M146" s="110">
        <v>262369863</v>
      </c>
      <c r="N146" s="85">
        <f>COUNTIF($F$1:F145,F145)</f>
        <v>2</v>
      </c>
    </row>
    <row r="147" spans="1:14" hidden="1">
      <c r="A147" s="80">
        <v>7.2023000000000001</v>
      </c>
      <c r="B147" s="83" t="s">
        <v>220</v>
      </c>
      <c r="C147" s="82">
        <v>45138</v>
      </c>
      <c r="D147" s="83"/>
      <c r="E147" s="83" t="s">
        <v>221</v>
      </c>
      <c r="F147" s="83" t="s">
        <v>244</v>
      </c>
      <c r="G147" s="106">
        <v>-5000000000</v>
      </c>
      <c r="H147" s="84">
        <v>-1</v>
      </c>
      <c r="I147" s="106">
        <v>-5265301370</v>
      </c>
      <c r="J147" s="110">
        <v>0</v>
      </c>
      <c r="K147" s="85">
        <v>0</v>
      </c>
      <c r="L147" s="110">
        <v>5002931507</v>
      </c>
      <c r="M147" s="110">
        <v>262369863</v>
      </c>
      <c r="N147" s="85">
        <f>COUNTIF($F$1:F146,F146)</f>
        <v>2</v>
      </c>
    </row>
    <row r="148" spans="1:14" hidden="1">
      <c r="A148" s="80">
        <v>7.2023000000000001</v>
      </c>
      <c r="B148" s="83" t="s">
        <v>220</v>
      </c>
      <c r="C148" s="82">
        <v>45138</v>
      </c>
      <c r="D148" s="83"/>
      <c r="E148" s="83" t="s">
        <v>221</v>
      </c>
      <c r="F148" s="83" t="s">
        <v>233</v>
      </c>
      <c r="G148" s="106">
        <v>-3000000000</v>
      </c>
      <c r="H148" s="84">
        <v>-1</v>
      </c>
      <c r="I148" s="106">
        <v>-3159180822</v>
      </c>
      <c r="J148" s="110">
        <v>0</v>
      </c>
      <c r="K148" s="85">
        <v>0</v>
      </c>
      <c r="L148" s="110">
        <v>3000000000</v>
      </c>
      <c r="M148" s="110">
        <v>159180822</v>
      </c>
      <c r="N148" s="85">
        <f>COUNTIF($F$1:F147,F147)</f>
        <v>2</v>
      </c>
    </row>
    <row r="149" spans="1:14" hidden="1">
      <c r="A149" s="80">
        <v>8.2022999999999993</v>
      </c>
      <c r="B149" s="83" t="s">
        <v>220</v>
      </c>
      <c r="C149" s="82">
        <v>45139</v>
      </c>
      <c r="D149" s="83"/>
      <c r="E149" s="83" t="s">
        <v>221</v>
      </c>
      <c r="F149" s="83" t="s">
        <v>245</v>
      </c>
      <c r="G149" s="106">
        <v>-4000000000</v>
      </c>
      <c r="H149" s="84">
        <v>-1</v>
      </c>
      <c r="I149" s="106">
        <v>-4212241096</v>
      </c>
      <c r="J149" s="110">
        <v>0</v>
      </c>
      <c r="K149" s="85">
        <v>0</v>
      </c>
      <c r="L149" s="110">
        <v>4000000000</v>
      </c>
      <c r="M149" s="110">
        <v>212241096</v>
      </c>
      <c r="N149" s="85">
        <f>COUNTIF($F$1:F148,F148)</f>
        <v>2</v>
      </c>
    </row>
    <row r="150" spans="1:14" hidden="1">
      <c r="A150" s="80">
        <v>8.2022999999999993</v>
      </c>
      <c r="B150" s="83" t="s">
        <v>309</v>
      </c>
      <c r="C150" s="82">
        <v>45139</v>
      </c>
      <c r="D150" s="83"/>
      <c r="E150" s="83" t="s">
        <v>310</v>
      </c>
      <c r="F150" s="83" t="s">
        <v>93</v>
      </c>
      <c r="G150" s="106">
        <v>35000000000</v>
      </c>
      <c r="H150" s="84">
        <v>35</v>
      </c>
      <c r="I150" s="106">
        <v>35000000000</v>
      </c>
      <c r="J150" s="110">
        <v>35000000000</v>
      </c>
      <c r="K150" s="85">
        <v>35</v>
      </c>
      <c r="L150" s="110">
        <v>1000000000</v>
      </c>
      <c r="M150" s="110">
        <v>0</v>
      </c>
      <c r="N150" s="85">
        <f>COUNTIF($F$1:F149,F149)</f>
        <v>2</v>
      </c>
    </row>
    <row r="151" spans="1:14" hidden="1">
      <c r="A151" s="80">
        <v>8.2022999999999993</v>
      </c>
      <c r="B151" s="83" t="s">
        <v>220</v>
      </c>
      <c r="C151" s="82">
        <v>45140</v>
      </c>
      <c r="D151" s="83"/>
      <c r="E151" s="83" t="s">
        <v>221</v>
      </c>
      <c r="F151" s="83" t="s">
        <v>246</v>
      </c>
      <c r="G151" s="106">
        <v>-5000000000</v>
      </c>
      <c r="H151" s="84">
        <v>-1</v>
      </c>
      <c r="I151" s="106">
        <v>-5265301370</v>
      </c>
      <c r="J151" s="110">
        <v>0</v>
      </c>
      <c r="K151" s="85">
        <v>0</v>
      </c>
      <c r="L151" s="110">
        <v>5000000000</v>
      </c>
      <c r="M151" s="110">
        <v>265301370</v>
      </c>
      <c r="N151" s="85">
        <f>COUNTIF($F$1:F150,F150)</f>
        <v>1</v>
      </c>
    </row>
    <row r="152" spans="1:14" hidden="1">
      <c r="A152" s="80">
        <v>8.2022999999999993</v>
      </c>
      <c r="B152" s="83" t="s">
        <v>309</v>
      </c>
      <c r="C152" s="82">
        <v>45140</v>
      </c>
      <c r="D152" s="83"/>
      <c r="E152" s="83" t="s">
        <v>310</v>
      </c>
      <c r="F152" s="83" t="s">
        <v>38</v>
      </c>
      <c r="G152" s="106">
        <v>10000000000</v>
      </c>
      <c r="H152" s="84">
        <v>10</v>
      </c>
      <c r="I152" s="106">
        <v>10000000000</v>
      </c>
      <c r="J152" s="110">
        <v>10000000000</v>
      </c>
      <c r="K152" s="85">
        <v>10</v>
      </c>
      <c r="L152" s="110">
        <v>1000000000</v>
      </c>
      <c r="M152" s="110">
        <v>0</v>
      </c>
      <c r="N152" s="85">
        <f>COUNTIF($F$1:F151,F151)</f>
        <v>2</v>
      </c>
    </row>
    <row r="153" spans="1:14" hidden="1">
      <c r="A153" s="80">
        <v>8.2022999999999993</v>
      </c>
      <c r="B153" s="83" t="s">
        <v>199</v>
      </c>
      <c r="C153" s="82">
        <v>45141</v>
      </c>
      <c r="D153" s="83"/>
      <c r="E153" s="83" t="s">
        <v>200</v>
      </c>
      <c r="F153" s="83" t="s">
        <v>247</v>
      </c>
      <c r="G153" s="106">
        <v>-5000000000</v>
      </c>
      <c r="H153" s="84">
        <v>-1</v>
      </c>
      <c r="I153" s="106">
        <v>-5287616438</v>
      </c>
      <c r="J153" s="110">
        <v>0</v>
      </c>
      <c r="K153" s="85">
        <v>0</v>
      </c>
      <c r="L153" s="110">
        <v>5000000000</v>
      </c>
      <c r="M153" s="110">
        <v>287616438</v>
      </c>
      <c r="N153" s="85">
        <f>COUNTIF($F$1:F152,F152)</f>
        <v>1</v>
      </c>
    </row>
    <row r="154" spans="1:14" hidden="1">
      <c r="A154" s="80">
        <v>8.2022999999999993</v>
      </c>
      <c r="B154" s="83" t="s">
        <v>309</v>
      </c>
      <c r="C154" s="82">
        <v>45141</v>
      </c>
      <c r="D154" s="83"/>
      <c r="E154" s="83" t="s">
        <v>310</v>
      </c>
      <c r="F154" s="83" t="s">
        <v>311</v>
      </c>
      <c r="G154" s="106">
        <v>5000000000</v>
      </c>
      <c r="H154" s="84">
        <v>5</v>
      </c>
      <c r="I154" s="106">
        <v>5000000000</v>
      </c>
      <c r="J154" s="110">
        <v>5000000000</v>
      </c>
      <c r="K154" s="85">
        <v>5</v>
      </c>
      <c r="L154" s="110">
        <v>1000000000</v>
      </c>
      <c r="M154" s="110">
        <v>0</v>
      </c>
      <c r="N154" s="85">
        <f>COUNTIF($F$1:F153,F153)</f>
        <v>2</v>
      </c>
    </row>
    <row r="155" spans="1:14" hidden="1">
      <c r="A155" s="80">
        <v>8.2022999999999993</v>
      </c>
      <c r="B155" s="83" t="s">
        <v>220</v>
      </c>
      <c r="C155" s="82">
        <v>45142</v>
      </c>
      <c r="D155" s="83"/>
      <c r="E155" s="83" t="s">
        <v>221</v>
      </c>
      <c r="F155" s="83" t="s">
        <v>234</v>
      </c>
      <c r="G155" s="106">
        <v>-3000000000</v>
      </c>
      <c r="H155" s="84">
        <v>-1</v>
      </c>
      <c r="I155" s="106">
        <v>-3270443835.5999999</v>
      </c>
      <c r="J155" s="110">
        <v>0</v>
      </c>
      <c r="K155" s="85">
        <v>0</v>
      </c>
      <c r="L155" s="110">
        <v>3102202471</v>
      </c>
      <c r="M155" s="110">
        <v>168241364.5999999</v>
      </c>
      <c r="N155" s="85">
        <f>COUNTIF($F$1:F154,F154)</f>
        <v>1</v>
      </c>
    </row>
    <row r="156" spans="1:14" hidden="1">
      <c r="A156" s="80">
        <v>8.2022999999999993</v>
      </c>
      <c r="B156" s="83" t="s">
        <v>220</v>
      </c>
      <c r="C156" s="82">
        <v>45142</v>
      </c>
      <c r="D156" s="83"/>
      <c r="E156" s="83" t="s">
        <v>221</v>
      </c>
      <c r="F156" s="83" t="s">
        <v>235</v>
      </c>
      <c r="G156" s="106">
        <v>-3000000000</v>
      </c>
      <c r="H156" s="84">
        <v>-1</v>
      </c>
      <c r="I156" s="106">
        <v>-3270443835.5999999</v>
      </c>
      <c r="J156" s="110">
        <v>0</v>
      </c>
      <c r="K156" s="85">
        <v>0</v>
      </c>
      <c r="L156" s="110">
        <v>3102202471</v>
      </c>
      <c r="M156" s="110">
        <v>168241364.5999999</v>
      </c>
      <c r="N156" s="85">
        <f>COUNTIF($F$1:F155,F155)</f>
        <v>2</v>
      </c>
    </row>
    <row r="157" spans="1:14" hidden="1">
      <c r="A157" s="80">
        <v>8.2022999999999993</v>
      </c>
      <c r="B157" s="83" t="s">
        <v>220</v>
      </c>
      <c r="C157" s="82">
        <v>45142</v>
      </c>
      <c r="D157" s="83"/>
      <c r="E157" s="83" t="s">
        <v>221</v>
      </c>
      <c r="F157" s="83" t="s">
        <v>236</v>
      </c>
      <c r="G157" s="106">
        <v>-3000000000</v>
      </c>
      <c r="H157" s="84">
        <v>-1</v>
      </c>
      <c r="I157" s="106">
        <v>-3270443835.5999999</v>
      </c>
      <c r="J157" s="110">
        <v>0</v>
      </c>
      <c r="K157" s="85">
        <v>0</v>
      </c>
      <c r="L157" s="110">
        <v>3102202471</v>
      </c>
      <c r="M157" s="110">
        <v>168241364.5999999</v>
      </c>
      <c r="N157" s="85">
        <f>COUNTIF($F$1:F156,F156)</f>
        <v>2</v>
      </c>
    </row>
    <row r="158" spans="1:14" hidden="1">
      <c r="A158" s="80">
        <v>8.2022999999999993</v>
      </c>
      <c r="B158" s="83" t="s">
        <v>309</v>
      </c>
      <c r="C158" s="82">
        <v>45145</v>
      </c>
      <c r="D158" s="83"/>
      <c r="E158" s="83" t="s">
        <v>310</v>
      </c>
      <c r="F158" s="83" t="s">
        <v>97</v>
      </c>
      <c r="G158" s="106">
        <v>10000000000</v>
      </c>
      <c r="H158" s="84">
        <v>10</v>
      </c>
      <c r="I158" s="106">
        <v>10000000000</v>
      </c>
      <c r="J158" s="110">
        <v>10000000000</v>
      </c>
      <c r="K158" s="85">
        <v>10</v>
      </c>
      <c r="L158" s="110">
        <v>1000000000</v>
      </c>
      <c r="M158" s="110">
        <v>0</v>
      </c>
      <c r="N158" s="85">
        <f>COUNTIF($F$1:F157,F157)</f>
        <v>2</v>
      </c>
    </row>
    <row r="159" spans="1:14" hidden="1">
      <c r="A159" s="80">
        <v>8.2022999999999993</v>
      </c>
      <c r="B159" s="83" t="s">
        <v>217</v>
      </c>
      <c r="C159" s="82">
        <v>45147</v>
      </c>
      <c r="D159" s="83"/>
      <c r="E159" s="83" t="s">
        <v>219</v>
      </c>
      <c r="F159" s="83" t="s">
        <v>122</v>
      </c>
      <c r="G159" s="106">
        <v>-61100000000</v>
      </c>
      <c r="H159" s="84">
        <v>-611000</v>
      </c>
      <c r="I159" s="106">
        <v>-62129535000</v>
      </c>
      <c r="J159" s="110">
        <v>-1.983642578125E-4</v>
      </c>
      <c r="K159" s="85">
        <v>0</v>
      </c>
      <c r="L159" s="110">
        <v>100000.00000054001</v>
      </c>
      <c r="M159" s="110">
        <v>1029534999.6700592</v>
      </c>
      <c r="N159" s="85">
        <f>COUNTIF($F$1:F158,F158)</f>
        <v>1</v>
      </c>
    </row>
    <row r="160" spans="1:14" hidden="1">
      <c r="A160" s="80">
        <v>8.2022999999999993</v>
      </c>
      <c r="B160" s="83" t="s">
        <v>185</v>
      </c>
      <c r="C160" s="82">
        <v>45149</v>
      </c>
      <c r="D160" s="83"/>
      <c r="E160" s="83" t="s">
        <v>312</v>
      </c>
      <c r="F160" s="83" t="s">
        <v>313</v>
      </c>
      <c r="G160" s="106">
        <v>3500000000</v>
      </c>
      <c r="H160" s="84">
        <v>35000</v>
      </c>
      <c r="I160" s="106">
        <v>3698240000</v>
      </c>
      <c r="J160" s="110">
        <v>3698240000</v>
      </c>
      <c r="K160" s="85">
        <v>35000</v>
      </c>
      <c r="L160" s="110">
        <v>105664</v>
      </c>
      <c r="M160" s="110">
        <v>0</v>
      </c>
      <c r="N160" s="85">
        <f>COUNTIF($F$1:F159,F159)</f>
        <v>3</v>
      </c>
    </row>
    <row r="161" spans="1:14" hidden="1">
      <c r="A161" s="80">
        <v>8.2022999999999993</v>
      </c>
      <c r="B161" s="83" t="s">
        <v>185</v>
      </c>
      <c r="C161" s="82">
        <v>45149</v>
      </c>
      <c r="D161" s="83"/>
      <c r="E161" s="83" t="s">
        <v>312</v>
      </c>
      <c r="F161" s="83" t="s">
        <v>314</v>
      </c>
      <c r="G161" s="106">
        <v>8000000000</v>
      </c>
      <c r="H161" s="84">
        <v>80000</v>
      </c>
      <c r="I161" s="106">
        <v>8442000000</v>
      </c>
      <c r="J161" s="110">
        <v>8442000000</v>
      </c>
      <c r="K161" s="85">
        <v>80000</v>
      </c>
      <c r="L161" s="110">
        <v>105525</v>
      </c>
      <c r="M161" s="110">
        <v>0</v>
      </c>
      <c r="N161" s="85">
        <f>COUNTIF($F$1:F160,F160)</f>
        <v>1</v>
      </c>
    </row>
    <row r="162" spans="1:14" hidden="1">
      <c r="A162" s="80">
        <v>8.2022999999999993</v>
      </c>
      <c r="B162" s="83" t="s">
        <v>185</v>
      </c>
      <c r="C162" s="82">
        <v>45149</v>
      </c>
      <c r="D162" s="83"/>
      <c r="E162" s="83" t="s">
        <v>312</v>
      </c>
      <c r="F162" s="83" t="s">
        <v>315</v>
      </c>
      <c r="G162" s="106">
        <v>10600000000</v>
      </c>
      <c r="H162" s="84">
        <v>106000</v>
      </c>
      <c r="I162" s="106">
        <v>11199960000</v>
      </c>
      <c r="J162" s="110">
        <v>11199960000</v>
      </c>
      <c r="K162" s="85">
        <v>106000</v>
      </c>
      <c r="L162" s="110">
        <v>105660</v>
      </c>
      <c r="M162" s="110">
        <v>0</v>
      </c>
      <c r="N162" s="85">
        <f>COUNTIF($F$1:F161,F161)</f>
        <v>1</v>
      </c>
    </row>
    <row r="163" spans="1:14" hidden="1">
      <c r="A163" s="80">
        <v>8.2022999999999993</v>
      </c>
      <c r="B163" s="83" t="s">
        <v>316</v>
      </c>
      <c r="C163" s="82">
        <v>45152</v>
      </c>
      <c r="D163" s="83"/>
      <c r="E163" s="83" t="s">
        <v>317</v>
      </c>
      <c r="F163" s="83" t="s">
        <v>317</v>
      </c>
      <c r="G163" s="106">
        <v>39000000000</v>
      </c>
      <c r="H163" s="84">
        <v>390000</v>
      </c>
      <c r="I163" s="106">
        <v>39764790000</v>
      </c>
      <c r="J163" s="110">
        <v>39764790000</v>
      </c>
      <c r="K163" s="85">
        <v>390000</v>
      </c>
      <c r="L163" s="110">
        <v>101961</v>
      </c>
      <c r="M163" s="110">
        <v>0</v>
      </c>
      <c r="N163" s="85">
        <f>COUNTIF($F$1:F162,F162)</f>
        <v>1</v>
      </c>
    </row>
    <row r="164" spans="1:14" hidden="1">
      <c r="A164" s="80">
        <v>8.2022999999999993</v>
      </c>
      <c r="B164" s="83" t="s">
        <v>199</v>
      </c>
      <c r="C164" s="82">
        <v>45152</v>
      </c>
      <c r="D164" s="83"/>
      <c r="E164" s="83" t="s">
        <v>200</v>
      </c>
      <c r="F164" s="83" t="s">
        <v>248</v>
      </c>
      <c r="G164" s="106">
        <v>-10000000000</v>
      </c>
      <c r="H164" s="84">
        <v>-1</v>
      </c>
      <c r="I164" s="106">
        <v>-10552986301</v>
      </c>
      <c r="J164" s="110">
        <v>0</v>
      </c>
      <c r="K164" s="85">
        <v>0</v>
      </c>
      <c r="L164" s="110">
        <v>10000000000</v>
      </c>
      <c r="M164" s="110">
        <v>552986301</v>
      </c>
      <c r="N164" s="85">
        <f>COUNTIF($F$1:F163,F163)</f>
        <v>1</v>
      </c>
    </row>
    <row r="165" spans="1:14" hidden="1">
      <c r="A165" s="80">
        <v>8.2022999999999993</v>
      </c>
      <c r="B165" s="83" t="s">
        <v>252</v>
      </c>
      <c r="C165" s="82">
        <v>45153</v>
      </c>
      <c r="D165" s="83"/>
      <c r="E165" s="83" t="s">
        <v>253</v>
      </c>
      <c r="F165" s="83" t="s">
        <v>254</v>
      </c>
      <c r="G165" s="106">
        <v>-15000000000</v>
      </c>
      <c r="H165" s="84">
        <v>-1</v>
      </c>
      <c r="I165" s="106">
        <v>-15668547945</v>
      </c>
      <c r="J165" s="110">
        <v>0</v>
      </c>
      <c r="K165" s="85">
        <v>0</v>
      </c>
      <c r="L165" s="110">
        <v>15000000000</v>
      </c>
      <c r="M165" s="110">
        <v>668547945</v>
      </c>
      <c r="N165" s="85">
        <f>COUNTIF($F$1:F164,F164)</f>
        <v>2</v>
      </c>
    </row>
    <row r="166" spans="1:14" hidden="1">
      <c r="A166" s="80">
        <v>8.2022999999999993</v>
      </c>
      <c r="B166" s="83" t="s">
        <v>190</v>
      </c>
      <c r="C166" s="82">
        <v>45154</v>
      </c>
      <c r="D166" s="83"/>
      <c r="E166" s="83" t="s">
        <v>191</v>
      </c>
      <c r="F166" s="83" t="s">
        <v>256</v>
      </c>
      <c r="G166" s="106">
        <v>-25000000000</v>
      </c>
      <c r="H166" s="84">
        <v>-5</v>
      </c>
      <c r="I166" s="106">
        <v>-24863356165</v>
      </c>
      <c r="J166" s="110">
        <v>0</v>
      </c>
      <c r="K166" s="85">
        <v>0</v>
      </c>
      <c r="L166" s="110">
        <v>5000000000</v>
      </c>
      <c r="M166" s="110">
        <v>-136643835</v>
      </c>
      <c r="N166" s="85">
        <f>COUNTIF($F$1:F165,F165)</f>
        <v>2</v>
      </c>
    </row>
    <row r="167" spans="1:14" hidden="1">
      <c r="A167" s="80">
        <v>8.2022999999999993</v>
      </c>
      <c r="B167" s="83" t="s">
        <v>199</v>
      </c>
      <c r="C167" s="82">
        <v>45160</v>
      </c>
      <c r="D167" s="83"/>
      <c r="E167" s="83" t="s">
        <v>200</v>
      </c>
      <c r="F167" s="83" t="s">
        <v>249</v>
      </c>
      <c r="G167" s="106">
        <v>-3000000000</v>
      </c>
      <c r="H167" s="84">
        <v>-1</v>
      </c>
      <c r="I167" s="106">
        <v>-3172569863</v>
      </c>
      <c r="J167" s="110">
        <v>0</v>
      </c>
      <c r="K167" s="85">
        <v>0</v>
      </c>
      <c r="L167" s="110">
        <v>3000000000</v>
      </c>
      <c r="M167" s="110">
        <v>172569863</v>
      </c>
      <c r="N167" s="85">
        <f>COUNTIF($F$1:F166,F166)</f>
        <v>2</v>
      </c>
    </row>
    <row r="168" spans="1:14" hidden="1">
      <c r="A168" s="80">
        <v>8.2022999999999993</v>
      </c>
      <c r="B168" s="83" t="s">
        <v>309</v>
      </c>
      <c r="C168" s="82">
        <v>45161</v>
      </c>
      <c r="D168" s="83"/>
      <c r="E168" s="83" t="s">
        <v>310</v>
      </c>
      <c r="F168" s="83" t="s">
        <v>39</v>
      </c>
      <c r="G168" s="106">
        <v>10000000000</v>
      </c>
      <c r="H168" s="84">
        <v>10</v>
      </c>
      <c r="I168" s="106">
        <v>10000000000</v>
      </c>
      <c r="J168" s="110">
        <v>10000000000</v>
      </c>
      <c r="K168" s="85">
        <v>10</v>
      </c>
      <c r="L168" s="110">
        <v>1000000000</v>
      </c>
      <c r="M168" s="110">
        <v>0</v>
      </c>
      <c r="N168" s="85">
        <f>COUNTIF($F$1:F167,F167)</f>
        <v>2</v>
      </c>
    </row>
    <row r="169" spans="1:14" hidden="1">
      <c r="A169" s="80">
        <v>9.2022999999999993</v>
      </c>
      <c r="B169" s="83" t="s">
        <v>199</v>
      </c>
      <c r="C169" s="82">
        <v>45177</v>
      </c>
      <c r="D169" s="83"/>
      <c r="E169" s="83" t="s">
        <v>200</v>
      </c>
      <c r="F169" s="83" t="s">
        <v>318</v>
      </c>
      <c r="G169" s="106">
        <v>30000000000</v>
      </c>
      <c r="H169" s="84">
        <v>1</v>
      </c>
      <c r="I169" s="106">
        <v>30000000000</v>
      </c>
      <c r="J169" s="110">
        <v>30000000000</v>
      </c>
      <c r="K169" s="85">
        <v>1</v>
      </c>
      <c r="L169" s="110">
        <v>30000000000</v>
      </c>
      <c r="M169" s="110">
        <v>0</v>
      </c>
      <c r="N169" s="85">
        <f>COUNTIF($F$1:F168,F168)</f>
        <v>1</v>
      </c>
    </row>
    <row r="170" spans="1:14" hidden="1">
      <c r="A170" s="80">
        <v>9.2022999999999993</v>
      </c>
      <c r="B170" s="83" t="s">
        <v>199</v>
      </c>
      <c r="C170" s="82">
        <v>45182</v>
      </c>
      <c r="D170" s="83"/>
      <c r="E170" s="83" t="s">
        <v>200</v>
      </c>
      <c r="F170" s="83" t="s">
        <v>319</v>
      </c>
      <c r="G170" s="106">
        <v>2000000000</v>
      </c>
      <c r="H170" s="84">
        <v>1</v>
      </c>
      <c r="I170" s="106">
        <v>2000000000</v>
      </c>
      <c r="J170" s="110">
        <v>2000000000</v>
      </c>
      <c r="K170" s="85">
        <v>1</v>
      </c>
      <c r="L170" s="110">
        <v>2000000000</v>
      </c>
      <c r="M170" s="110">
        <v>0</v>
      </c>
      <c r="N170" s="85">
        <f>COUNTIF($F$1:F169,F169)</f>
        <v>1</v>
      </c>
    </row>
    <row r="171" spans="1:14" hidden="1">
      <c r="A171" s="80">
        <v>9.2022999999999993</v>
      </c>
      <c r="B171" s="83" t="s">
        <v>199</v>
      </c>
      <c r="C171" s="82">
        <v>45188</v>
      </c>
      <c r="D171" s="83"/>
      <c r="E171" s="83" t="s">
        <v>200</v>
      </c>
      <c r="F171" s="83" t="s">
        <v>320</v>
      </c>
      <c r="G171" s="106">
        <v>500000000</v>
      </c>
      <c r="H171" s="84">
        <v>1</v>
      </c>
      <c r="I171" s="106">
        <v>500000000</v>
      </c>
      <c r="J171" s="110">
        <v>500000000</v>
      </c>
      <c r="K171" s="85">
        <v>1</v>
      </c>
      <c r="L171" s="110">
        <v>500000000</v>
      </c>
      <c r="M171" s="110">
        <v>0</v>
      </c>
      <c r="N171" s="85">
        <f>COUNTIF($F$1:F170,F170)</f>
        <v>1</v>
      </c>
    </row>
    <row r="172" spans="1:14" hidden="1">
      <c r="A172" s="80">
        <v>9.2022999999999993</v>
      </c>
      <c r="B172" s="83" t="s">
        <v>199</v>
      </c>
      <c r="C172" s="82">
        <v>45188</v>
      </c>
      <c r="D172" s="83"/>
      <c r="E172" s="83" t="s">
        <v>200</v>
      </c>
      <c r="F172" s="83" t="s">
        <v>321</v>
      </c>
      <c r="G172" s="106">
        <v>500000000</v>
      </c>
      <c r="H172" s="84">
        <v>1</v>
      </c>
      <c r="I172" s="106">
        <v>500000000</v>
      </c>
      <c r="J172" s="110">
        <v>500000000</v>
      </c>
      <c r="K172" s="85">
        <v>1</v>
      </c>
      <c r="L172" s="110">
        <v>500000000</v>
      </c>
      <c r="M172" s="110">
        <v>0</v>
      </c>
      <c r="N172" s="85">
        <f>COUNTIF($F$1:F171,F171)</f>
        <v>1</v>
      </c>
    </row>
    <row r="173" spans="1:14" hidden="1">
      <c r="A173" s="80">
        <v>9.2022999999999993</v>
      </c>
      <c r="B173" s="83" t="s">
        <v>199</v>
      </c>
      <c r="C173" s="82">
        <v>45188</v>
      </c>
      <c r="D173" s="83"/>
      <c r="E173" s="83" t="s">
        <v>200</v>
      </c>
      <c r="F173" s="83" t="s">
        <v>322</v>
      </c>
      <c r="G173" s="106">
        <v>500000000</v>
      </c>
      <c r="H173" s="84">
        <v>1</v>
      </c>
      <c r="I173" s="106">
        <v>500000000</v>
      </c>
      <c r="J173" s="110">
        <v>500000000</v>
      </c>
      <c r="K173" s="85">
        <v>1</v>
      </c>
      <c r="L173" s="110">
        <v>500000000</v>
      </c>
      <c r="M173" s="110">
        <v>0</v>
      </c>
      <c r="N173" s="85">
        <f>COUNTIF($F$1:F172,F172)</f>
        <v>1</v>
      </c>
    </row>
    <row r="174" spans="1:14" hidden="1">
      <c r="A174" s="80">
        <v>9.2022999999999993</v>
      </c>
      <c r="B174" s="83" t="s">
        <v>199</v>
      </c>
      <c r="C174" s="82">
        <v>45188</v>
      </c>
      <c r="D174" s="83"/>
      <c r="E174" s="83" t="s">
        <v>200</v>
      </c>
      <c r="F174" s="83" t="s">
        <v>323</v>
      </c>
      <c r="G174" s="106">
        <v>500000000</v>
      </c>
      <c r="H174" s="84">
        <v>1</v>
      </c>
      <c r="I174" s="106">
        <v>500000000</v>
      </c>
      <c r="J174" s="110">
        <v>500000000</v>
      </c>
      <c r="K174" s="85">
        <v>1</v>
      </c>
      <c r="L174" s="110">
        <v>500000000</v>
      </c>
      <c r="M174" s="110">
        <v>0</v>
      </c>
      <c r="N174" s="85">
        <f>COUNTIF($F$1:F173,F173)</f>
        <v>1</v>
      </c>
    </row>
    <row r="175" spans="1:14" hidden="1">
      <c r="A175" s="80">
        <v>9.2022999999999993</v>
      </c>
      <c r="B175" s="83" t="s">
        <v>199</v>
      </c>
      <c r="C175" s="82">
        <v>45188</v>
      </c>
      <c r="D175" s="83"/>
      <c r="E175" s="83" t="s">
        <v>200</v>
      </c>
      <c r="F175" s="105" t="s">
        <v>324</v>
      </c>
      <c r="G175" s="106">
        <v>500000000</v>
      </c>
      <c r="H175" s="84">
        <v>1</v>
      </c>
      <c r="I175" s="106">
        <v>500000000</v>
      </c>
      <c r="J175" s="110">
        <v>500000000</v>
      </c>
      <c r="K175" s="85">
        <v>1</v>
      </c>
      <c r="L175" s="110">
        <v>500000000</v>
      </c>
      <c r="M175" s="110">
        <v>0</v>
      </c>
      <c r="N175" s="85">
        <f>COUNTIF($F$1:F174,F174)</f>
        <v>1</v>
      </c>
    </row>
    <row r="176" spans="1:14" hidden="1">
      <c r="A176" s="80">
        <v>9.2022999999999993</v>
      </c>
      <c r="B176" s="83" t="s">
        <v>199</v>
      </c>
      <c r="C176" s="82">
        <v>45188</v>
      </c>
      <c r="D176" s="83"/>
      <c r="E176" s="83" t="s">
        <v>200</v>
      </c>
      <c r="F176" s="83" t="s">
        <v>325</v>
      </c>
      <c r="G176" s="106">
        <v>200000000</v>
      </c>
      <c r="H176" s="84">
        <v>1</v>
      </c>
      <c r="I176" s="106">
        <v>200000000</v>
      </c>
      <c r="J176" s="110">
        <v>200000000</v>
      </c>
      <c r="K176" s="85">
        <v>1</v>
      </c>
      <c r="L176" s="110">
        <v>200000000</v>
      </c>
      <c r="M176" s="110">
        <v>0</v>
      </c>
      <c r="N176" s="85">
        <f>COUNTIF($F$1:F175,F175)</f>
        <v>1</v>
      </c>
    </row>
    <row r="177" spans="1:14" hidden="1">
      <c r="A177" s="80">
        <v>6.2023000000000001</v>
      </c>
      <c r="B177" s="83" t="s">
        <v>273</v>
      </c>
      <c r="C177" s="82">
        <v>45086</v>
      </c>
      <c r="D177" s="83"/>
      <c r="E177" s="83" t="s">
        <v>32</v>
      </c>
      <c r="F177" s="83" t="s">
        <v>32</v>
      </c>
      <c r="G177" s="106">
        <v>50000000000</v>
      </c>
      <c r="H177" s="84">
        <v>50</v>
      </c>
      <c r="I177" s="112">
        <v>50000000000</v>
      </c>
      <c r="J177" s="110">
        <v>50000000000</v>
      </c>
      <c r="K177" s="85">
        <v>50</v>
      </c>
      <c r="L177" s="110">
        <v>1000000000</v>
      </c>
      <c r="M177" s="110">
        <v>0</v>
      </c>
      <c r="N177" s="85">
        <f>COUNTIF($F$1:F176,F176)</f>
        <v>1</v>
      </c>
    </row>
    <row r="178" spans="1:14" hidden="1">
      <c r="A178" s="80">
        <v>9.2022999999999993</v>
      </c>
      <c r="B178" s="83" t="s">
        <v>273</v>
      </c>
      <c r="C178" s="82">
        <v>45194</v>
      </c>
      <c r="D178" s="83"/>
      <c r="E178" s="83" t="s">
        <v>32</v>
      </c>
      <c r="F178" s="83" t="s">
        <v>32</v>
      </c>
      <c r="G178" s="106">
        <v>-50000000000</v>
      </c>
      <c r="H178" s="84">
        <v>-50</v>
      </c>
      <c r="I178" s="106">
        <v>-51590410950</v>
      </c>
      <c r="J178" s="110">
        <v>0</v>
      </c>
      <c r="K178" s="85">
        <v>0</v>
      </c>
      <c r="L178" s="110">
        <v>1000000000</v>
      </c>
      <c r="M178" s="110">
        <v>1590410950</v>
      </c>
      <c r="N178" s="85">
        <f>COUNTIF($F$1:F177,F177)</f>
        <v>1</v>
      </c>
    </row>
    <row r="179" spans="1:14" hidden="1">
      <c r="A179" s="80">
        <v>10.202299999999999</v>
      </c>
      <c r="B179" s="83" t="s">
        <v>273</v>
      </c>
      <c r="C179" s="82">
        <v>45217</v>
      </c>
      <c r="D179" s="83"/>
      <c r="E179" s="83" t="s">
        <v>326</v>
      </c>
      <c r="F179" s="83" t="s">
        <v>32</v>
      </c>
      <c r="G179" s="106">
        <v>50000000000</v>
      </c>
      <c r="H179" s="84">
        <v>50</v>
      </c>
      <c r="I179" s="112">
        <v>51834228650</v>
      </c>
      <c r="J179" s="110">
        <v>51834228650</v>
      </c>
      <c r="K179" s="85">
        <v>50</v>
      </c>
      <c r="L179" s="110">
        <v>1036684573</v>
      </c>
      <c r="M179" s="110">
        <v>0</v>
      </c>
      <c r="N179" s="85">
        <f>COUNTIF($F$1:F178,F178)</f>
        <v>2</v>
      </c>
    </row>
    <row r="180" spans="1:14" hidden="1">
      <c r="A180" s="80">
        <v>6.2023000000000001</v>
      </c>
      <c r="B180" s="83" t="s">
        <v>273</v>
      </c>
      <c r="C180" s="82">
        <v>45093</v>
      </c>
      <c r="D180" s="83"/>
      <c r="E180" s="83" t="s">
        <v>33</v>
      </c>
      <c r="F180" s="83" t="s">
        <v>33</v>
      </c>
      <c r="G180" s="106">
        <v>30000000000</v>
      </c>
      <c r="H180" s="84">
        <v>30</v>
      </c>
      <c r="I180" s="112">
        <v>30000000000</v>
      </c>
      <c r="J180" s="110">
        <v>30000000000</v>
      </c>
      <c r="K180" s="85">
        <v>30</v>
      </c>
      <c r="L180" s="110">
        <v>1000000000</v>
      </c>
      <c r="M180" s="110">
        <v>0</v>
      </c>
      <c r="N180" s="85">
        <f>COUNTIF($F$1:F179,F179)</f>
        <v>3</v>
      </c>
    </row>
    <row r="181" spans="1:14" hidden="1">
      <c r="A181" s="80">
        <v>9.2022999999999993</v>
      </c>
      <c r="B181" s="83" t="s">
        <v>271</v>
      </c>
      <c r="C181" s="82">
        <v>45194</v>
      </c>
      <c r="D181" s="83"/>
      <c r="E181" s="83" t="s">
        <v>102</v>
      </c>
      <c r="F181" s="83" t="s">
        <v>102</v>
      </c>
      <c r="G181" s="106">
        <v>-3300000000</v>
      </c>
      <c r="H181" s="84">
        <v>-33</v>
      </c>
      <c r="I181" s="106">
        <v>-3409306850</v>
      </c>
      <c r="J181" s="110">
        <v>0</v>
      </c>
      <c r="K181" s="85">
        <v>0</v>
      </c>
      <c r="L181" s="110">
        <v>100000000</v>
      </c>
      <c r="M181" s="110">
        <v>109306850</v>
      </c>
      <c r="N181" s="85">
        <f>COUNTIF($F$1:F180,F180)</f>
        <v>1</v>
      </c>
    </row>
    <row r="182" spans="1:14" hidden="1">
      <c r="A182" s="80">
        <v>9.2022999999999993</v>
      </c>
      <c r="B182" s="83" t="s">
        <v>208</v>
      </c>
      <c r="C182" s="82">
        <v>45198</v>
      </c>
      <c r="D182" s="83"/>
      <c r="E182" s="83" t="s">
        <v>209</v>
      </c>
      <c r="F182" s="105">
        <v>287209312</v>
      </c>
      <c r="G182" s="106">
        <v>50000000000</v>
      </c>
      <c r="H182" s="84">
        <v>1</v>
      </c>
      <c r="I182" s="106">
        <v>51966963290</v>
      </c>
      <c r="J182" s="110">
        <v>51966963290</v>
      </c>
      <c r="K182" s="85">
        <v>1</v>
      </c>
      <c r="L182" s="110">
        <v>51966963290</v>
      </c>
      <c r="M182" s="110">
        <v>0</v>
      </c>
      <c r="N182" s="85">
        <f>COUNTIF($F$1:F181,F181)</f>
        <v>3</v>
      </c>
    </row>
    <row r="183" spans="1:14" hidden="1">
      <c r="A183" s="80">
        <v>12.202299999999999</v>
      </c>
      <c r="B183" s="81" t="s">
        <v>327</v>
      </c>
      <c r="C183" s="82">
        <v>45272</v>
      </c>
      <c r="D183" s="83" t="s">
        <v>218</v>
      </c>
      <c r="E183" s="83" t="s">
        <v>99</v>
      </c>
      <c r="F183" s="83" t="s">
        <v>99</v>
      </c>
      <c r="G183" s="106">
        <v>-10146800000</v>
      </c>
      <c r="H183" s="84">
        <v>-101468</v>
      </c>
      <c r="I183" s="106">
        <v>-10146800000</v>
      </c>
      <c r="J183" s="110">
        <v>0</v>
      </c>
      <c r="K183" s="85">
        <v>0</v>
      </c>
      <c r="L183" s="110">
        <v>100000</v>
      </c>
      <c r="M183" s="110">
        <v>0</v>
      </c>
      <c r="N183" s="85">
        <f>COUNTIF($F$1:F182,F182)</f>
        <v>1</v>
      </c>
    </row>
    <row r="184" spans="1:14" hidden="1">
      <c r="A184" s="80">
        <v>12.202299999999999</v>
      </c>
      <c r="B184" s="81" t="s">
        <v>327</v>
      </c>
      <c r="C184" s="82">
        <v>45272</v>
      </c>
      <c r="D184" s="83" t="s">
        <v>218</v>
      </c>
      <c r="E184" s="83" t="s">
        <v>99</v>
      </c>
      <c r="F184" s="83" t="s">
        <v>20</v>
      </c>
      <c r="G184" s="110">
        <v>-339700000</v>
      </c>
      <c r="H184" s="84">
        <v>-3397</v>
      </c>
      <c r="I184" s="110">
        <v>-339700000</v>
      </c>
      <c r="J184" s="110">
        <v>5899600000</v>
      </c>
      <c r="K184" s="85">
        <v>58996</v>
      </c>
      <c r="L184" s="110">
        <v>100000</v>
      </c>
      <c r="M184" s="110">
        <v>0</v>
      </c>
      <c r="N184" s="85">
        <f>COUNTIF($F$1:F183,F183)</f>
        <v>1</v>
      </c>
    </row>
    <row r="185" spans="1:14" hidden="1">
      <c r="A185" s="80">
        <v>11.202299999999999</v>
      </c>
      <c r="B185" s="83" t="s">
        <v>327</v>
      </c>
      <c r="C185" s="82">
        <v>45232</v>
      </c>
      <c r="D185" s="83"/>
      <c r="E185" s="83" t="s">
        <v>99</v>
      </c>
      <c r="F185" s="83" t="s">
        <v>99</v>
      </c>
      <c r="G185" s="106">
        <v>-772000000</v>
      </c>
      <c r="H185" s="84">
        <v>-7720</v>
      </c>
      <c r="I185" s="106">
        <v>-772065401</v>
      </c>
      <c r="J185" s="110">
        <v>10146800000</v>
      </c>
      <c r="K185" s="85">
        <v>101468</v>
      </c>
      <c r="L185" s="110">
        <v>100000</v>
      </c>
      <c r="M185" s="110">
        <v>65401</v>
      </c>
      <c r="N185" s="85">
        <f>COUNTIF($F$1:F184,F184)</f>
        <v>1</v>
      </c>
    </row>
    <row r="186" spans="1:14" hidden="1">
      <c r="A186" s="80">
        <v>9.2022999999999993</v>
      </c>
      <c r="B186" s="103" t="s">
        <v>266</v>
      </c>
      <c r="C186" s="92">
        <v>45181</v>
      </c>
      <c r="D186" s="94"/>
      <c r="E186" s="94" t="s">
        <v>18</v>
      </c>
      <c r="F186" s="94" t="s">
        <v>18</v>
      </c>
      <c r="G186" s="111" t="s">
        <v>238</v>
      </c>
      <c r="H186" s="95"/>
      <c r="I186" s="109">
        <v>-868580000</v>
      </c>
      <c r="J186" s="109">
        <v>70000000000</v>
      </c>
      <c r="K186" s="90">
        <v>7000</v>
      </c>
      <c r="L186" s="109">
        <v>10000000</v>
      </c>
      <c r="M186" s="110">
        <v>0</v>
      </c>
      <c r="N186" s="85">
        <f>COUNTIF($F$1:F185,F185)</f>
        <v>2</v>
      </c>
    </row>
    <row r="187" spans="1:14" hidden="1">
      <c r="A187" s="80">
        <v>10.202299999999999</v>
      </c>
      <c r="B187" s="83" t="s">
        <v>252</v>
      </c>
      <c r="C187" s="82">
        <v>45201</v>
      </c>
      <c r="D187" s="83"/>
      <c r="E187" s="83" t="s">
        <v>253</v>
      </c>
      <c r="F187" s="83" t="s">
        <v>257</v>
      </c>
      <c r="G187" s="106">
        <v>-15000000000</v>
      </c>
      <c r="H187" s="84">
        <v>-1</v>
      </c>
      <c r="I187" s="106">
        <v>-15699452055</v>
      </c>
      <c r="J187" s="110">
        <v>0</v>
      </c>
      <c r="K187" s="85">
        <v>0</v>
      </c>
      <c r="L187" s="110">
        <v>15000000000</v>
      </c>
      <c r="M187" s="110">
        <v>699452055</v>
      </c>
      <c r="N187" s="85">
        <f>COUNTIF($F$1:F186,F186)</f>
        <v>2</v>
      </c>
    </row>
    <row r="188" spans="1:14" hidden="1">
      <c r="A188" s="80">
        <v>10.202299999999999</v>
      </c>
      <c r="B188" s="103" t="s">
        <v>266</v>
      </c>
      <c r="C188" s="92">
        <v>45204</v>
      </c>
      <c r="D188" s="94"/>
      <c r="E188" s="94" t="s">
        <v>279</v>
      </c>
      <c r="F188" s="94" t="s">
        <v>279</v>
      </c>
      <c r="G188" s="111" t="s">
        <v>238</v>
      </c>
      <c r="H188" s="95"/>
      <c r="I188" s="109">
        <v>-1264295000</v>
      </c>
      <c r="J188" s="109">
        <v>50000000000</v>
      </c>
      <c r="K188" s="90">
        <v>5000</v>
      </c>
      <c r="L188" s="109">
        <v>10000000</v>
      </c>
      <c r="M188" s="110">
        <v>0</v>
      </c>
      <c r="N188" s="85">
        <f>COUNTIF($F$1:F187,F187)</f>
        <v>2</v>
      </c>
    </row>
    <row r="189" spans="1:14" hidden="1">
      <c r="A189" s="80">
        <v>10.202299999999999</v>
      </c>
      <c r="B189" s="83" t="s">
        <v>309</v>
      </c>
      <c r="C189" s="82">
        <v>45205</v>
      </c>
      <c r="D189" s="83"/>
      <c r="E189" s="83" t="s">
        <v>310</v>
      </c>
      <c r="F189" s="83" t="s">
        <v>93</v>
      </c>
      <c r="G189" s="106">
        <v>-35000000000</v>
      </c>
      <c r="H189" s="84">
        <v>-35</v>
      </c>
      <c r="I189" s="106">
        <v>-35683506845</v>
      </c>
      <c r="J189" s="110">
        <v>0</v>
      </c>
      <c r="K189" s="85">
        <v>0</v>
      </c>
      <c r="L189" s="110">
        <v>1000000000</v>
      </c>
      <c r="M189" s="110">
        <v>683506845</v>
      </c>
      <c r="N189" s="85">
        <f>COUNTIF($F$1:F188,F188)</f>
        <v>2</v>
      </c>
    </row>
    <row r="190" spans="1:14" hidden="1">
      <c r="A190" s="80">
        <v>10.202299999999999</v>
      </c>
      <c r="B190" s="83" t="s">
        <v>309</v>
      </c>
      <c r="C190" s="82">
        <v>45205</v>
      </c>
      <c r="D190" s="83"/>
      <c r="E190" s="83" t="s">
        <v>310</v>
      </c>
      <c r="F190" s="83" t="s">
        <v>311</v>
      </c>
      <c r="G190" s="106">
        <v>-5000000000</v>
      </c>
      <c r="H190" s="84">
        <v>-5</v>
      </c>
      <c r="I190" s="106">
        <v>-5094684930</v>
      </c>
      <c r="J190" s="110">
        <v>0</v>
      </c>
      <c r="K190" s="85">
        <v>0</v>
      </c>
      <c r="L190" s="110">
        <v>1000000000</v>
      </c>
      <c r="M190" s="110">
        <v>94684930</v>
      </c>
      <c r="N190" s="85">
        <f>COUNTIF($F$1:F189,F189)</f>
        <v>2</v>
      </c>
    </row>
    <row r="191" spans="1:14" hidden="1">
      <c r="A191" s="80">
        <v>10.202299999999999</v>
      </c>
      <c r="B191" s="83" t="s">
        <v>309</v>
      </c>
      <c r="C191" s="82">
        <v>45205</v>
      </c>
      <c r="D191" s="83"/>
      <c r="E191" s="83" t="s">
        <v>310</v>
      </c>
      <c r="F191" s="83" t="s">
        <v>97</v>
      </c>
      <c r="G191" s="106">
        <v>-10000000000</v>
      </c>
      <c r="H191" s="84">
        <v>-10</v>
      </c>
      <c r="I191" s="106">
        <v>-10177534250</v>
      </c>
      <c r="J191" s="110">
        <v>0</v>
      </c>
      <c r="K191" s="85">
        <v>0</v>
      </c>
      <c r="L191" s="110">
        <v>1000000000</v>
      </c>
      <c r="M191" s="110">
        <v>177534250</v>
      </c>
      <c r="N191" s="85">
        <f>COUNTIF($F$1:F190,F190)</f>
        <v>2</v>
      </c>
    </row>
    <row r="192" spans="1:14" hidden="1">
      <c r="A192" s="80">
        <v>10.202299999999999</v>
      </c>
      <c r="B192" s="83" t="s">
        <v>252</v>
      </c>
      <c r="C192" s="82">
        <v>45205</v>
      </c>
      <c r="D192" s="83"/>
      <c r="E192" s="83" t="s">
        <v>253</v>
      </c>
      <c r="F192" s="83" t="s">
        <v>258</v>
      </c>
      <c r="G192" s="106">
        <v>-15000000000</v>
      </c>
      <c r="H192" s="84">
        <v>-1</v>
      </c>
      <c r="I192" s="106">
        <v>-15676849315</v>
      </c>
      <c r="J192" s="110">
        <v>0</v>
      </c>
      <c r="K192" s="85">
        <v>0</v>
      </c>
      <c r="L192" s="110">
        <v>15000000000</v>
      </c>
      <c r="M192" s="110">
        <v>676849315</v>
      </c>
      <c r="N192" s="85">
        <f>COUNTIF($F$1:F191,F191)</f>
        <v>2</v>
      </c>
    </row>
    <row r="193" spans="1:14" hidden="1">
      <c r="A193" s="80">
        <v>10.202299999999999</v>
      </c>
      <c r="B193" s="83" t="s">
        <v>190</v>
      </c>
      <c r="C193" s="82">
        <v>45205</v>
      </c>
      <c r="D193" s="83"/>
      <c r="E193" s="83" t="s">
        <v>191</v>
      </c>
      <c r="F193" s="83" t="s">
        <v>259</v>
      </c>
      <c r="G193" s="106">
        <v>-25000000000</v>
      </c>
      <c r="H193" s="84">
        <v>-1</v>
      </c>
      <c r="I193" s="106">
        <v>-26140616440</v>
      </c>
      <c r="J193" s="110">
        <v>0</v>
      </c>
      <c r="K193" s="85">
        <v>0</v>
      </c>
      <c r="L193" s="110">
        <v>25000000000</v>
      </c>
      <c r="M193" s="110">
        <v>1140616440</v>
      </c>
      <c r="N193" s="85">
        <f>COUNTIF($F$1:F192,F192)</f>
        <v>2</v>
      </c>
    </row>
    <row r="194" spans="1:14" hidden="1">
      <c r="A194" s="80">
        <v>10.202299999999999</v>
      </c>
      <c r="B194" s="83" t="s">
        <v>252</v>
      </c>
      <c r="C194" s="82">
        <v>45209</v>
      </c>
      <c r="D194" s="83"/>
      <c r="E194" s="83" t="s">
        <v>253</v>
      </c>
      <c r="F194" s="83" t="s">
        <v>260</v>
      </c>
      <c r="G194" s="106">
        <v>-5000000000</v>
      </c>
      <c r="H194" s="84">
        <v>-1</v>
      </c>
      <c r="I194" s="106">
        <v>-5228082192</v>
      </c>
      <c r="J194" s="110">
        <v>0</v>
      </c>
      <c r="K194" s="85">
        <v>0</v>
      </c>
      <c r="L194" s="110">
        <v>5000000000</v>
      </c>
      <c r="M194" s="110">
        <v>228082192</v>
      </c>
      <c r="N194" s="85">
        <f>COUNTIF($F$1:F193,F193)</f>
        <v>2</v>
      </c>
    </row>
    <row r="195" spans="1:14" hidden="1">
      <c r="A195" s="80">
        <v>10.202299999999999</v>
      </c>
      <c r="B195" s="83" t="s">
        <v>185</v>
      </c>
      <c r="C195" s="82">
        <v>45211</v>
      </c>
      <c r="D195" s="83"/>
      <c r="E195" s="83" t="s">
        <v>312</v>
      </c>
      <c r="F195" s="83" t="s">
        <v>313</v>
      </c>
      <c r="G195" s="106">
        <v>-3500000000</v>
      </c>
      <c r="H195" s="84">
        <v>-35000</v>
      </c>
      <c r="I195" s="106">
        <v>-3696980000</v>
      </c>
      <c r="J195" s="110">
        <v>0</v>
      </c>
      <c r="K195" s="85">
        <v>0</v>
      </c>
      <c r="L195" s="110">
        <v>105664</v>
      </c>
      <c r="M195" s="110">
        <v>-1260000</v>
      </c>
      <c r="N195" s="85">
        <f>COUNTIF($F$1:F194,F194)</f>
        <v>2</v>
      </c>
    </row>
    <row r="196" spans="1:14" hidden="1">
      <c r="A196" s="80">
        <v>10.202299999999999</v>
      </c>
      <c r="B196" s="83" t="s">
        <v>185</v>
      </c>
      <c r="C196" s="82">
        <v>45211</v>
      </c>
      <c r="D196" s="83"/>
      <c r="E196" s="83" t="s">
        <v>312</v>
      </c>
      <c r="F196" s="83" t="s">
        <v>314</v>
      </c>
      <c r="G196" s="106">
        <v>-8000000000</v>
      </c>
      <c r="H196" s="84">
        <v>-80000</v>
      </c>
      <c r="I196" s="106">
        <v>-8439360000</v>
      </c>
      <c r="J196" s="110">
        <v>0</v>
      </c>
      <c r="K196" s="85">
        <v>0</v>
      </c>
      <c r="L196" s="110">
        <v>105525</v>
      </c>
      <c r="M196" s="110">
        <v>-2640000</v>
      </c>
      <c r="N196" s="85">
        <f>COUNTIF($F$1:F195,F195)</f>
        <v>2</v>
      </c>
    </row>
    <row r="197" spans="1:14" hidden="1">
      <c r="A197" s="80">
        <v>10.202299999999999</v>
      </c>
      <c r="B197" s="83" t="s">
        <v>185</v>
      </c>
      <c r="C197" s="82">
        <v>45211</v>
      </c>
      <c r="D197" s="83"/>
      <c r="E197" s="83" t="s">
        <v>312</v>
      </c>
      <c r="F197" s="83" t="s">
        <v>104</v>
      </c>
      <c r="G197" s="106">
        <v>-7200000000</v>
      </c>
      <c r="H197" s="84">
        <v>-72000</v>
      </c>
      <c r="I197" s="106">
        <v>-7640064000</v>
      </c>
      <c r="J197" s="110">
        <v>0</v>
      </c>
      <c r="K197" s="85">
        <v>0</v>
      </c>
      <c r="L197" s="110">
        <v>100000</v>
      </c>
      <c r="M197" s="110">
        <v>440064000</v>
      </c>
      <c r="N197" s="85">
        <f>COUNTIF($F$1:F196,F196)</f>
        <v>2</v>
      </c>
    </row>
    <row r="198" spans="1:14" hidden="1">
      <c r="A198" s="80">
        <v>10.202299999999999</v>
      </c>
      <c r="B198" s="83" t="s">
        <v>185</v>
      </c>
      <c r="C198" s="82">
        <v>45211</v>
      </c>
      <c r="D198" s="83"/>
      <c r="E198" s="83" t="s">
        <v>312</v>
      </c>
      <c r="F198" s="83" t="s">
        <v>105</v>
      </c>
      <c r="G198" s="106">
        <v>-6500000000</v>
      </c>
      <c r="H198" s="84">
        <v>-65000</v>
      </c>
      <c r="I198" s="106">
        <v>-6909565000</v>
      </c>
      <c r="J198" s="110">
        <v>0</v>
      </c>
      <c r="K198" s="85">
        <v>0</v>
      </c>
      <c r="L198" s="110">
        <v>100000</v>
      </c>
      <c r="M198" s="110">
        <v>409565000</v>
      </c>
      <c r="N198" s="85">
        <f>COUNTIF($F$1:F197,F197)</f>
        <v>1</v>
      </c>
    </row>
    <row r="199" spans="1:14" hidden="1">
      <c r="A199" s="80">
        <v>10.202299999999999</v>
      </c>
      <c r="B199" s="83" t="s">
        <v>185</v>
      </c>
      <c r="C199" s="82">
        <v>45211</v>
      </c>
      <c r="D199" s="83"/>
      <c r="E199" s="83" t="s">
        <v>312</v>
      </c>
      <c r="F199" s="83" t="s">
        <v>106</v>
      </c>
      <c r="G199" s="106">
        <v>-500000000</v>
      </c>
      <c r="H199" s="84">
        <v>-5000</v>
      </c>
      <c r="I199" s="106">
        <v>-530615000</v>
      </c>
      <c r="J199" s="110">
        <v>0</v>
      </c>
      <c r="K199" s="85">
        <v>0</v>
      </c>
      <c r="L199" s="110">
        <v>100000</v>
      </c>
      <c r="M199" s="110">
        <v>30615000</v>
      </c>
      <c r="N199" s="85">
        <f>COUNTIF($F$1:F198,F198)</f>
        <v>1</v>
      </c>
    </row>
    <row r="200" spans="1:14" hidden="1">
      <c r="A200" s="80">
        <v>10.202299999999999</v>
      </c>
      <c r="B200" s="83" t="s">
        <v>185</v>
      </c>
      <c r="C200" s="82">
        <v>45211</v>
      </c>
      <c r="D200" s="83"/>
      <c r="E200" s="83" t="s">
        <v>312</v>
      </c>
      <c r="F200" s="83" t="s">
        <v>315</v>
      </c>
      <c r="G200" s="106">
        <v>-10600000000</v>
      </c>
      <c r="H200" s="84">
        <v>-106000</v>
      </c>
      <c r="I200" s="106">
        <v>-11239710000</v>
      </c>
      <c r="J200" s="110">
        <v>0</v>
      </c>
      <c r="K200" s="85">
        <v>0</v>
      </c>
      <c r="L200" s="110">
        <v>105660</v>
      </c>
      <c r="M200" s="110">
        <v>39750000</v>
      </c>
      <c r="N200" s="85">
        <f>COUNTIF($F$1:F199,F199)</f>
        <v>1</v>
      </c>
    </row>
    <row r="201" spans="1:14" hidden="1">
      <c r="A201" s="80">
        <v>10.202299999999999</v>
      </c>
      <c r="B201" s="83" t="s">
        <v>185</v>
      </c>
      <c r="C201" s="82">
        <v>45211</v>
      </c>
      <c r="D201" s="83"/>
      <c r="E201" s="83" t="s">
        <v>312</v>
      </c>
      <c r="F201" s="83" t="s">
        <v>107</v>
      </c>
      <c r="G201" s="106">
        <v>-2000000000</v>
      </c>
      <c r="H201" s="84">
        <v>-20000</v>
      </c>
      <c r="I201" s="106">
        <v>-2119800000</v>
      </c>
      <c r="J201" s="110">
        <v>0</v>
      </c>
      <c r="K201" s="85">
        <v>0</v>
      </c>
      <c r="L201" s="110">
        <v>100000</v>
      </c>
      <c r="M201" s="110">
        <v>119800000</v>
      </c>
      <c r="N201" s="85">
        <f>COUNTIF($F$1:F200,F200)</f>
        <v>2</v>
      </c>
    </row>
    <row r="202" spans="1:14" hidden="1">
      <c r="A202" s="80">
        <v>10.202299999999999</v>
      </c>
      <c r="B202" s="83" t="s">
        <v>185</v>
      </c>
      <c r="C202" s="82">
        <v>45211</v>
      </c>
      <c r="D202" s="83"/>
      <c r="E202" s="83" t="s">
        <v>312</v>
      </c>
      <c r="F202" s="83" t="s">
        <v>108</v>
      </c>
      <c r="G202" s="106">
        <v>-4000000000</v>
      </c>
      <c r="H202" s="84">
        <v>-40000</v>
      </c>
      <c r="I202" s="106">
        <v>-4234280000</v>
      </c>
      <c r="J202" s="110">
        <v>0</v>
      </c>
      <c r="K202" s="85">
        <v>0</v>
      </c>
      <c r="L202" s="110">
        <v>100000</v>
      </c>
      <c r="M202" s="110">
        <v>234280000</v>
      </c>
      <c r="N202" s="85">
        <f>COUNTIF($F$1:F201,F201)</f>
        <v>1</v>
      </c>
    </row>
    <row r="203" spans="1:14" hidden="1">
      <c r="A203" s="80">
        <v>10.202299999999999</v>
      </c>
      <c r="B203" s="83" t="s">
        <v>185</v>
      </c>
      <c r="C203" s="82">
        <v>45211</v>
      </c>
      <c r="D203" s="83"/>
      <c r="E203" s="83" t="s">
        <v>312</v>
      </c>
      <c r="F203" s="83" t="s">
        <v>109</v>
      </c>
      <c r="G203" s="106">
        <v>-1500000000</v>
      </c>
      <c r="H203" s="84">
        <v>-15000</v>
      </c>
      <c r="I203" s="106">
        <v>-1587195000</v>
      </c>
      <c r="J203" s="110">
        <v>0</v>
      </c>
      <c r="K203" s="85">
        <v>0</v>
      </c>
      <c r="L203" s="110">
        <v>100000</v>
      </c>
      <c r="M203" s="110">
        <v>87195000</v>
      </c>
      <c r="N203" s="85">
        <f>COUNTIF($F$1:F202,F202)</f>
        <v>1</v>
      </c>
    </row>
    <row r="204" spans="1:14" hidden="1">
      <c r="A204" s="80">
        <v>10.202299999999999</v>
      </c>
      <c r="B204" s="83" t="s">
        <v>185</v>
      </c>
      <c r="C204" s="82">
        <v>45211</v>
      </c>
      <c r="D204" s="83"/>
      <c r="E204" s="83" t="s">
        <v>312</v>
      </c>
      <c r="F204" s="83" t="s">
        <v>110</v>
      </c>
      <c r="G204" s="106">
        <v>-4000000000</v>
      </c>
      <c r="H204" s="84">
        <v>-40000</v>
      </c>
      <c r="I204" s="106">
        <v>-4227160000</v>
      </c>
      <c r="J204" s="110">
        <v>0</v>
      </c>
      <c r="K204" s="85">
        <v>0</v>
      </c>
      <c r="L204" s="110">
        <v>100000</v>
      </c>
      <c r="M204" s="110">
        <v>227160000</v>
      </c>
      <c r="N204" s="85">
        <f>COUNTIF($F$1:F203,F203)</f>
        <v>1</v>
      </c>
    </row>
    <row r="205" spans="1:14" hidden="1">
      <c r="A205" s="80">
        <v>10.202299999999999</v>
      </c>
      <c r="B205" s="83" t="s">
        <v>185</v>
      </c>
      <c r="C205" s="82">
        <v>45211</v>
      </c>
      <c r="D205" s="83"/>
      <c r="E205" s="83" t="s">
        <v>312</v>
      </c>
      <c r="F205" s="83" t="s">
        <v>114</v>
      </c>
      <c r="G205" s="106">
        <v>-2000000000</v>
      </c>
      <c r="H205" s="84">
        <v>-20000</v>
      </c>
      <c r="I205" s="106">
        <v>-2111820000</v>
      </c>
      <c r="J205" s="110">
        <v>0</v>
      </c>
      <c r="K205" s="85">
        <v>0</v>
      </c>
      <c r="L205" s="110">
        <v>100000</v>
      </c>
      <c r="M205" s="110">
        <v>111820000</v>
      </c>
      <c r="N205" s="85">
        <f>COUNTIF($F$1:F204,F204)</f>
        <v>1</v>
      </c>
    </row>
    <row r="206" spans="1:14" hidden="1">
      <c r="A206" s="80">
        <v>10.202299999999999</v>
      </c>
      <c r="B206" s="83" t="s">
        <v>185</v>
      </c>
      <c r="C206" s="82">
        <v>45211</v>
      </c>
      <c r="D206" s="83"/>
      <c r="E206" s="83" t="s">
        <v>312</v>
      </c>
      <c r="F206" s="83" t="s">
        <v>115</v>
      </c>
      <c r="G206" s="106">
        <v>-500000000</v>
      </c>
      <c r="H206" s="84">
        <v>-5000</v>
      </c>
      <c r="I206" s="106">
        <v>-529505000</v>
      </c>
      <c r="J206" s="110">
        <v>0</v>
      </c>
      <c r="K206" s="85">
        <v>0</v>
      </c>
      <c r="L206" s="110">
        <v>100000</v>
      </c>
      <c r="M206" s="110">
        <v>29505000</v>
      </c>
      <c r="N206" s="85">
        <f>COUNTIF($F$1:F205,F205)</f>
        <v>1</v>
      </c>
    </row>
    <row r="207" spans="1:14" hidden="1">
      <c r="A207" s="80">
        <v>10.202299999999999</v>
      </c>
      <c r="B207" s="83" t="s">
        <v>185</v>
      </c>
      <c r="C207" s="82">
        <v>45211</v>
      </c>
      <c r="D207" s="83"/>
      <c r="E207" s="83" t="s">
        <v>312</v>
      </c>
      <c r="F207" s="83" t="s">
        <v>116</v>
      </c>
      <c r="G207" s="106">
        <v>-500000000</v>
      </c>
      <c r="H207" s="84">
        <v>-5000</v>
      </c>
      <c r="I207" s="106">
        <v>-527510000</v>
      </c>
      <c r="J207" s="110">
        <v>0</v>
      </c>
      <c r="K207" s="85">
        <v>0</v>
      </c>
      <c r="L207" s="110">
        <v>100000</v>
      </c>
      <c r="M207" s="110">
        <v>27510000</v>
      </c>
      <c r="N207" s="85">
        <f>COUNTIF($F$1:F206,F206)</f>
        <v>1</v>
      </c>
    </row>
    <row r="208" spans="1:14" hidden="1">
      <c r="A208" s="80">
        <v>10.202299999999999</v>
      </c>
      <c r="B208" s="83" t="s">
        <v>185</v>
      </c>
      <c r="C208" s="82">
        <v>45211</v>
      </c>
      <c r="D208" s="83"/>
      <c r="E208" s="83" t="s">
        <v>312</v>
      </c>
      <c r="F208" s="83" t="s">
        <v>111</v>
      </c>
      <c r="G208" s="106">
        <v>-1500000000</v>
      </c>
      <c r="H208" s="84">
        <v>-15000</v>
      </c>
      <c r="I208" s="106">
        <v>-1581195000</v>
      </c>
      <c r="J208" s="110">
        <v>0</v>
      </c>
      <c r="K208" s="85">
        <v>0</v>
      </c>
      <c r="L208" s="110">
        <v>100000</v>
      </c>
      <c r="M208" s="110">
        <v>81195000</v>
      </c>
      <c r="N208" s="85">
        <f>COUNTIF($F$1:F207,F207)</f>
        <v>1</v>
      </c>
    </row>
    <row r="209" spans="1:14" hidden="1">
      <c r="A209" s="80">
        <v>10.202299999999999</v>
      </c>
      <c r="B209" s="83" t="s">
        <v>185</v>
      </c>
      <c r="C209" s="82">
        <v>45211</v>
      </c>
      <c r="D209" s="83"/>
      <c r="E209" s="83" t="s">
        <v>312</v>
      </c>
      <c r="F209" s="83" t="s">
        <v>112</v>
      </c>
      <c r="G209" s="106">
        <v>-500000000</v>
      </c>
      <c r="H209" s="84">
        <v>-5000</v>
      </c>
      <c r="I209" s="106">
        <v>-526845000</v>
      </c>
      <c r="J209" s="110">
        <v>0</v>
      </c>
      <c r="K209" s="85">
        <v>0</v>
      </c>
      <c r="L209" s="110">
        <v>100000</v>
      </c>
      <c r="M209" s="110">
        <v>26845000</v>
      </c>
      <c r="N209" s="85">
        <f>COUNTIF($F$1:F208,F208)</f>
        <v>1</v>
      </c>
    </row>
    <row r="210" spans="1:14" hidden="1">
      <c r="A210" s="80">
        <v>10.202299999999999</v>
      </c>
      <c r="B210" s="83" t="s">
        <v>185</v>
      </c>
      <c r="C210" s="82">
        <v>45211</v>
      </c>
      <c r="D210" s="83"/>
      <c r="E210" s="83" t="s">
        <v>312</v>
      </c>
      <c r="F210" s="83" t="s">
        <v>113</v>
      </c>
      <c r="G210" s="106">
        <v>-3100000000</v>
      </c>
      <c r="H210" s="84">
        <v>-31000</v>
      </c>
      <c r="I210" s="106">
        <v>-3260921000</v>
      </c>
      <c r="J210" s="110">
        <v>0</v>
      </c>
      <c r="K210" s="85">
        <v>0</v>
      </c>
      <c r="L210" s="110">
        <v>100000</v>
      </c>
      <c r="M210" s="110">
        <v>160921000</v>
      </c>
      <c r="N210" s="85">
        <f>COUNTIF($F$1:F209,F209)</f>
        <v>1</v>
      </c>
    </row>
    <row r="211" spans="1:14" hidden="1">
      <c r="A211" s="80">
        <v>10.202299999999999</v>
      </c>
      <c r="B211" s="83" t="s">
        <v>185</v>
      </c>
      <c r="C211" s="82">
        <v>45211</v>
      </c>
      <c r="D211" s="83"/>
      <c r="E211" s="83" t="s">
        <v>312</v>
      </c>
      <c r="F211" s="83" t="s">
        <v>117</v>
      </c>
      <c r="G211" s="106">
        <v>-1000000000</v>
      </c>
      <c r="H211" s="84">
        <v>-10000</v>
      </c>
      <c r="I211" s="106">
        <v>-1052800000</v>
      </c>
      <c r="J211" s="110">
        <v>0</v>
      </c>
      <c r="K211" s="85">
        <v>0</v>
      </c>
      <c r="L211" s="110">
        <v>100000</v>
      </c>
      <c r="M211" s="110">
        <v>52800000</v>
      </c>
      <c r="N211" s="85">
        <f>COUNTIF($F$1:F210,F210)</f>
        <v>1</v>
      </c>
    </row>
    <row r="212" spans="1:14">
      <c r="A212" s="80">
        <v>7.2023000000000001</v>
      </c>
      <c r="B212" s="83" t="s">
        <v>298</v>
      </c>
      <c r="C212" s="82">
        <v>45117</v>
      </c>
      <c r="D212" s="83"/>
      <c r="E212" s="83" t="s">
        <v>23</v>
      </c>
      <c r="F212" s="83" t="s">
        <v>23</v>
      </c>
      <c r="G212" s="106">
        <v>-3000000000</v>
      </c>
      <c r="H212" s="84">
        <v>-30000</v>
      </c>
      <c r="I212" s="106">
        <v>-3183246575</v>
      </c>
      <c r="J212" s="110">
        <v>4000000000</v>
      </c>
      <c r="K212" s="85">
        <v>40000</v>
      </c>
      <c r="L212" s="110">
        <v>100000</v>
      </c>
      <c r="M212" s="110">
        <v>183246575</v>
      </c>
      <c r="N212" s="85">
        <f>COUNTIF($F$1:F211,F211)</f>
        <v>1</v>
      </c>
    </row>
    <row r="213" spans="1:14" hidden="1">
      <c r="A213" s="80">
        <v>10.202299999999999</v>
      </c>
      <c r="B213" s="83" t="s">
        <v>252</v>
      </c>
      <c r="C213" s="82">
        <v>45216</v>
      </c>
      <c r="D213" s="83"/>
      <c r="E213" s="83" t="s">
        <v>253</v>
      </c>
      <c r="F213" s="83" t="s">
        <v>264</v>
      </c>
      <c r="G213" s="106">
        <v>-20000000000</v>
      </c>
      <c r="H213" s="84">
        <v>-1</v>
      </c>
      <c r="I213" s="106">
        <v>-20862356164</v>
      </c>
      <c r="J213" s="110">
        <v>0</v>
      </c>
      <c r="K213" s="85">
        <v>0</v>
      </c>
      <c r="L213" s="110">
        <v>20000000000</v>
      </c>
      <c r="M213" s="110">
        <v>862356164</v>
      </c>
      <c r="N213" s="85">
        <f>COUNTIF($F$1:F212,F212)</f>
        <v>2</v>
      </c>
    </row>
    <row r="214" spans="1:14" hidden="1">
      <c r="A214" s="80">
        <v>10.202299999999999</v>
      </c>
      <c r="B214" s="83" t="s">
        <v>208</v>
      </c>
      <c r="C214" s="82">
        <v>45216</v>
      </c>
      <c r="D214" s="83"/>
      <c r="E214" s="83" t="s">
        <v>209</v>
      </c>
      <c r="F214" s="83" t="s">
        <v>265</v>
      </c>
      <c r="G214" s="106">
        <v>-20000000000</v>
      </c>
      <c r="H214" s="84">
        <v>-1</v>
      </c>
      <c r="I214" s="106">
        <v>-20932547945</v>
      </c>
      <c r="J214" s="110">
        <v>0</v>
      </c>
      <c r="K214" s="85">
        <v>0</v>
      </c>
      <c r="L214" s="110">
        <v>20000000000</v>
      </c>
      <c r="M214" s="110">
        <v>932547945</v>
      </c>
      <c r="N214" s="85">
        <f>COUNTIF($F$1:F213,F213)</f>
        <v>2</v>
      </c>
    </row>
    <row r="215" spans="1:14" hidden="1">
      <c r="A215" s="80">
        <v>6.2023000000000001</v>
      </c>
      <c r="B215" s="83" t="s">
        <v>273</v>
      </c>
      <c r="C215" s="82">
        <v>45096</v>
      </c>
      <c r="D215" s="83"/>
      <c r="E215" s="100" t="s">
        <v>33</v>
      </c>
      <c r="F215" s="100" t="s">
        <v>33</v>
      </c>
      <c r="G215" s="106">
        <v>-5000000000</v>
      </c>
      <c r="H215" s="84">
        <v>-5</v>
      </c>
      <c r="I215" s="112">
        <v>-5004417810</v>
      </c>
      <c r="J215" s="110">
        <v>25000000000</v>
      </c>
      <c r="K215" s="85">
        <v>25</v>
      </c>
      <c r="L215" s="110">
        <v>1000000000</v>
      </c>
      <c r="M215" s="110">
        <v>4417810</v>
      </c>
      <c r="N215" s="85">
        <f>COUNTIF($F$1:F214,F214)</f>
        <v>2</v>
      </c>
    </row>
    <row r="216" spans="1:14" hidden="1">
      <c r="A216" s="80">
        <v>10.202299999999999</v>
      </c>
      <c r="B216" s="83" t="s">
        <v>199</v>
      </c>
      <c r="C216" s="82">
        <v>45218</v>
      </c>
      <c r="D216" s="83"/>
      <c r="E216" s="83" t="s">
        <v>200</v>
      </c>
      <c r="F216" s="83" t="s">
        <v>328</v>
      </c>
      <c r="G216" s="106">
        <v>20000000000</v>
      </c>
      <c r="H216" s="84">
        <v>1</v>
      </c>
      <c r="I216" s="106">
        <v>20443616438</v>
      </c>
      <c r="J216" s="110">
        <v>20443616438</v>
      </c>
      <c r="K216" s="85">
        <v>1</v>
      </c>
      <c r="L216" s="110">
        <v>20443616438</v>
      </c>
      <c r="M216" s="110">
        <v>0</v>
      </c>
      <c r="N216" s="85">
        <f>COUNTIF($F$1:F215,F215)</f>
        <v>2</v>
      </c>
    </row>
    <row r="217" spans="1:14" hidden="1">
      <c r="A217" s="80">
        <v>10.202299999999999</v>
      </c>
      <c r="B217" s="83" t="s">
        <v>199</v>
      </c>
      <c r="C217" s="82">
        <v>45218</v>
      </c>
      <c r="D217" s="83"/>
      <c r="E217" s="83" t="s">
        <v>200</v>
      </c>
      <c r="F217" s="83" t="s">
        <v>329</v>
      </c>
      <c r="G217" s="106">
        <v>30000000000</v>
      </c>
      <c r="H217" s="84">
        <v>1</v>
      </c>
      <c r="I217" s="106">
        <v>30665424658</v>
      </c>
      <c r="J217" s="110">
        <v>30665424658</v>
      </c>
      <c r="K217" s="85">
        <v>1</v>
      </c>
      <c r="L217" s="110">
        <v>30665424658</v>
      </c>
      <c r="M217" s="110">
        <v>0</v>
      </c>
      <c r="N217" s="85">
        <f>COUNTIF($F$1:F216,F216)</f>
        <v>1</v>
      </c>
    </row>
    <row r="218" spans="1:14" hidden="1">
      <c r="A218" s="80">
        <v>10.202299999999999</v>
      </c>
      <c r="B218" s="83" t="s">
        <v>267</v>
      </c>
      <c r="C218" s="82">
        <v>45223</v>
      </c>
      <c r="D218" s="83"/>
      <c r="E218" s="100" t="s">
        <v>268</v>
      </c>
      <c r="F218" s="83" t="s">
        <v>330</v>
      </c>
      <c r="G218" s="106">
        <v>50000000000</v>
      </c>
      <c r="H218" s="84">
        <v>1</v>
      </c>
      <c r="I218" s="106">
        <v>52156712329</v>
      </c>
      <c r="J218" s="110">
        <v>52156712329</v>
      </c>
      <c r="K218" s="85">
        <v>1</v>
      </c>
      <c r="L218" s="110">
        <v>52156712329</v>
      </c>
      <c r="M218" s="110">
        <v>0</v>
      </c>
      <c r="N218" s="85">
        <f>COUNTIF($F$1:F217,F217)</f>
        <v>1</v>
      </c>
    </row>
    <row r="219" spans="1:14" hidden="1">
      <c r="A219" s="80">
        <v>11.202299999999999</v>
      </c>
      <c r="B219" s="83" t="s">
        <v>331</v>
      </c>
      <c r="C219" s="82">
        <v>45240</v>
      </c>
      <c r="D219" s="83"/>
      <c r="E219" s="83" t="s">
        <v>332</v>
      </c>
      <c r="F219" s="83" t="s">
        <v>16</v>
      </c>
      <c r="G219" s="106">
        <v>50000000000</v>
      </c>
      <c r="H219" s="84">
        <v>500000</v>
      </c>
      <c r="I219" s="106">
        <v>50529000000</v>
      </c>
      <c r="J219" s="110">
        <v>100860500000</v>
      </c>
      <c r="K219" s="85">
        <v>500500</v>
      </c>
      <c r="L219" s="110">
        <v>201519.48051948051</v>
      </c>
      <c r="M219" s="110">
        <v>0</v>
      </c>
      <c r="N219" s="85">
        <f>COUNTIF($F$1:F218,F218)</f>
        <v>1</v>
      </c>
    </row>
    <row r="220" spans="1:14" hidden="1">
      <c r="A220" s="80">
        <v>10.202299999999999</v>
      </c>
      <c r="B220" s="83" t="s">
        <v>199</v>
      </c>
      <c r="C220" s="82">
        <v>45224</v>
      </c>
      <c r="D220" s="83"/>
      <c r="E220" s="83" t="s">
        <v>200</v>
      </c>
      <c r="F220" s="83" t="s">
        <v>333</v>
      </c>
      <c r="G220" s="106">
        <v>2000000000</v>
      </c>
      <c r="H220" s="84">
        <v>1</v>
      </c>
      <c r="I220" s="106">
        <v>2022800000</v>
      </c>
      <c r="J220" s="110">
        <v>2022800000</v>
      </c>
      <c r="K220" s="85">
        <v>1</v>
      </c>
      <c r="L220" s="110">
        <v>2022800000</v>
      </c>
      <c r="M220" s="110">
        <v>0</v>
      </c>
      <c r="N220" s="85">
        <f>COUNTIF($F$1:F219,F219)</f>
        <v>1</v>
      </c>
    </row>
    <row r="221" spans="1:14" hidden="1">
      <c r="A221" s="80">
        <v>10.202299999999999</v>
      </c>
      <c r="B221" s="83" t="s">
        <v>199</v>
      </c>
      <c r="C221" s="82">
        <v>45224</v>
      </c>
      <c r="D221" s="83"/>
      <c r="E221" s="83" t="s">
        <v>200</v>
      </c>
      <c r="F221" s="83" t="s">
        <v>334</v>
      </c>
      <c r="G221" s="106">
        <v>1000000000</v>
      </c>
      <c r="H221" s="84">
        <v>1</v>
      </c>
      <c r="I221" s="106">
        <v>1011400000</v>
      </c>
      <c r="J221" s="110">
        <v>1011400000</v>
      </c>
      <c r="K221" s="85">
        <v>1</v>
      </c>
      <c r="L221" s="110">
        <v>1011400000</v>
      </c>
      <c r="M221" s="110">
        <v>0</v>
      </c>
      <c r="N221" s="85">
        <f>COUNTIF($F$1:F220,F220)</f>
        <v>1</v>
      </c>
    </row>
    <row r="222" spans="1:14" hidden="1">
      <c r="A222" s="80">
        <v>10.202299999999999</v>
      </c>
      <c r="B222" s="83" t="s">
        <v>199</v>
      </c>
      <c r="C222" s="82">
        <v>45224</v>
      </c>
      <c r="D222" s="83"/>
      <c r="E222" s="83" t="s">
        <v>200</v>
      </c>
      <c r="F222" s="83" t="s">
        <v>335</v>
      </c>
      <c r="G222" s="106">
        <v>1000000000</v>
      </c>
      <c r="H222" s="84">
        <v>1</v>
      </c>
      <c r="I222" s="106">
        <v>1011400000</v>
      </c>
      <c r="J222" s="110">
        <v>1011400000</v>
      </c>
      <c r="K222" s="85">
        <v>1</v>
      </c>
      <c r="L222" s="110">
        <v>1011400000</v>
      </c>
      <c r="M222" s="110">
        <v>0</v>
      </c>
      <c r="N222" s="85">
        <f>COUNTIF($F$1:F221,F221)</f>
        <v>1</v>
      </c>
    </row>
    <row r="223" spans="1:14" hidden="1">
      <c r="A223" s="80">
        <v>10.202299999999999</v>
      </c>
      <c r="B223" s="83" t="s">
        <v>199</v>
      </c>
      <c r="C223" s="82">
        <v>45224</v>
      </c>
      <c r="D223" s="83"/>
      <c r="E223" s="83" t="s">
        <v>200</v>
      </c>
      <c r="F223" s="83" t="s">
        <v>336</v>
      </c>
      <c r="G223" s="106">
        <v>1000000000</v>
      </c>
      <c r="H223" s="84">
        <v>1</v>
      </c>
      <c r="I223" s="106">
        <v>1011400000</v>
      </c>
      <c r="J223" s="110">
        <v>1011400000</v>
      </c>
      <c r="K223" s="85">
        <v>1</v>
      </c>
      <c r="L223" s="110">
        <v>1011400000</v>
      </c>
      <c r="M223" s="110">
        <v>0</v>
      </c>
      <c r="N223" s="85">
        <f>COUNTIF($F$1:F222,F222)</f>
        <v>1</v>
      </c>
    </row>
    <row r="224" spans="1:14" hidden="1">
      <c r="A224" s="80">
        <v>10.202299999999999</v>
      </c>
      <c r="B224" s="83" t="s">
        <v>199</v>
      </c>
      <c r="C224" s="82">
        <v>45224</v>
      </c>
      <c r="D224" s="83"/>
      <c r="E224" s="83" t="s">
        <v>200</v>
      </c>
      <c r="F224" s="83" t="s">
        <v>337</v>
      </c>
      <c r="G224" s="106">
        <v>2000000000</v>
      </c>
      <c r="H224" s="84">
        <v>1</v>
      </c>
      <c r="I224" s="106">
        <v>2021863014</v>
      </c>
      <c r="J224" s="110">
        <v>2021863014</v>
      </c>
      <c r="K224" s="85">
        <v>1</v>
      </c>
      <c r="L224" s="110">
        <v>2021863014</v>
      </c>
      <c r="M224" s="110">
        <v>0</v>
      </c>
      <c r="N224" s="85">
        <f>COUNTIF($F$1:F223,F223)</f>
        <v>1</v>
      </c>
    </row>
    <row r="225" spans="1:14" hidden="1">
      <c r="A225" s="80">
        <v>10.202299999999999</v>
      </c>
      <c r="B225" s="83" t="s">
        <v>199</v>
      </c>
      <c r="C225" s="82">
        <v>45224</v>
      </c>
      <c r="D225" s="83"/>
      <c r="E225" s="83" t="s">
        <v>200</v>
      </c>
      <c r="F225" s="83" t="s">
        <v>338</v>
      </c>
      <c r="G225" s="106">
        <v>1000000000</v>
      </c>
      <c r="H225" s="84">
        <v>1</v>
      </c>
      <c r="I225" s="106">
        <v>1010931507</v>
      </c>
      <c r="J225" s="110">
        <v>1010931507</v>
      </c>
      <c r="K225" s="85">
        <v>1</v>
      </c>
      <c r="L225" s="110">
        <v>1010931507</v>
      </c>
      <c r="M225" s="110">
        <v>0</v>
      </c>
      <c r="N225" s="85">
        <f>COUNTIF($F$1:F224,F224)</f>
        <v>1</v>
      </c>
    </row>
    <row r="226" spans="1:14" hidden="1">
      <c r="A226" s="80">
        <v>10.202299999999999</v>
      </c>
      <c r="B226" s="83" t="s">
        <v>199</v>
      </c>
      <c r="C226" s="82">
        <v>45224</v>
      </c>
      <c r="D226" s="83"/>
      <c r="E226" s="83" t="s">
        <v>200</v>
      </c>
      <c r="F226" s="83" t="s">
        <v>339</v>
      </c>
      <c r="G226" s="106">
        <v>1000000000</v>
      </c>
      <c r="H226" s="84">
        <v>1</v>
      </c>
      <c r="I226" s="106">
        <v>1010931507</v>
      </c>
      <c r="J226" s="110">
        <v>1010931507</v>
      </c>
      <c r="K226" s="85">
        <v>1</v>
      </c>
      <c r="L226" s="110">
        <v>1010931507</v>
      </c>
      <c r="M226" s="110">
        <v>0</v>
      </c>
      <c r="N226" s="85">
        <f>COUNTIF($F$1:F225,F225)</f>
        <v>1</v>
      </c>
    </row>
    <row r="227" spans="1:14" hidden="1">
      <c r="A227" s="80">
        <v>10.202299999999999</v>
      </c>
      <c r="B227" s="83" t="s">
        <v>199</v>
      </c>
      <c r="C227" s="82">
        <v>45224</v>
      </c>
      <c r="D227" s="83"/>
      <c r="E227" s="83" t="s">
        <v>200</v>
      </c>
      <c r="F227" s="83" t="s">
        <v>340</v>
      </c>
      <c r="G227" s="106">
        <v>1000000000</v>
      </c>
      <c r="H227" s="84">
        <v>1</v>
      </c>
      <c r="I227" s="106">
        <v>1010931507</v>
      </c>
      <c r="J227" s="110">
        <v>1010931507</v>
      </c>
      <c r="K227" s="85">
        <v>1</v>
      </c>
      <c r="L227" s="110">
        <v>1010931507</v>
      </c>
      <c r="M227" s="110">
        <v>0</v>
      </c>
      <c r="N227" s="85">
        <f>COUNTIF($F$1:F226,F226)</f>
        <v>1</v>
      </c>
    </row>
    <row r="228" spans="1:14" hidden="1">
      <c r="A228" s="80">
        <v>3.2023000000000001</v>
      </c>
      <c r="B228" s="81" t="s">
        <v>327</v>
      </c>
      <c r="C228" s="82">
        <v>45008</v>
      </c>
      <c r="D228" s="83"/>
      <c r="E228" s="83" t="s">
        <v>99</v>
      </c>
      <c r="F228" s="83" t="s">
        <v>99</v>
      </c>
      <c r="G228" s="106">
        <v>-106200000</v>
      </c>
      <c r="H228" s="84">
        <v>-1062</v>
      </c>
      <c r="I228" s="106">
        <v>-106167472</v>
      </c>
      <c r="J228" s="110">
        <v>10918800000</v>
      </c>
      <c r="K228" s="85">
        <v>109188</v>
      </c>
      <c r="L228" s="110">
        <v>100000</v>
      </c>
      <c r="M228" s="110">
        <v>-32528</v>
      </c>
      <c r="N228" s="85">
        <f>COUNTIF($F$1:F227,F227)</f>
        <v>1</v>
      </c>
    </row>
    <row r="229" spans="1:14" hidden="1">
      <c r="A229" s="80">
        <v>11.202299999999999</v>
      </c>
      <c r="B229" s="81" t="s">
        <v>267</v>
      </c>
      <c r="C229" s="101">
        <v>45236</v>
      </c>
      <c r="D229" s="100"/>
      <c r="E229" s="100" t="s">
        <v>268</v>
      </c>
      <c r="F229" s="100" t="s">
        <v>269</v>
      </c>
      <c r="G229" s="110">
        <v>-10000000000</v>
      </c>
      <c r="H229" s="84">
        <v>-1</v>
      </c>
      <c r="I229" s="114">
        <v>-10458630137</v>
      </c>
      <c r="J229" s="110">
        <v>0</v>
      </c>
      <c r="K229" s="85">
        <v>0</v>
      </c>
      <c r="L229" s="110">
        <v>10000000000</v>
      </c>
      <c r="M229" s="110">
        <v>458630137</v>
      </c>
      <c r="N229" s="85">
        <f>COUNTIF($F$1:F228,F228)</f>
        <v>3</v>
      </c>
    </row>
    <row r="230" spans="1:14" hidden="1">
      <c r="A230" s="80">
        <v>11.202299999999999</v>
      </c>
      <c r="B230" s="81" t="s">
        <v>267</v>
      </c>
      <c r="C230" s="101">
        <v>45236</v>
      </c>
      <c r="D230" s="100"/>
      <c r="E230" s="100" t="s">
        <v>268</v>
      </c>
      <c r="F230" s="100" t="s">
        <v>270</v>
      </c>
      <c r="G230" s="110">
        <v>-10000000000</v>
      </c>
      <c r="H230" s="84">
        <v>-1</v>
      </c>
      <c r="I230" s="114">
        <v>-10453698630</v>
      </c>
      <c r="J230" s="110">
        <v>0</v>
      </c>
      <c r="K230" s="85">
        <v>0</v>
      </c>
      <c r="L230" s="110">
        <v>10000000000</v>
      </c>
      <c r="M230" s="110">
        <v>453698630</v>
      </c>
      <c r="N230" s="85">
        <f>COUNTIF($F$1:F229,F229)</f>
        <v>2</v>
      </c>
    </row>
    <row r="231" spans="1:14" hidden="1">
      <c r="A231" s="80">
        <v>10.202299999999999</v>
      </c>
      <c r="B231" s="83" t="s">
        <v>331</v>
      </c>
      <c r="C231" s="82">
        <v>45223</v>
      </c>
      <c r="D231" s="83"/>
      <c r="E231" s="83" t="s">
        <v>332</v>
      </c>
      <c r="F231" s="83" t="s">
        <v>16</v>
      </c>
      <c r="G231" s="106">
        <v>50000000000</v>
      </c>
      <c r="H231" s="84">
        <v>500000</v>
      </c>
      <c r="I231" s="106">
        <v>50331500000</v>
      </c>
      <c r="J231" s="110">
        <v>50331500000</v>
      </c>
      <c r="K231" s="85">
        <v>500</v>
      </c>
      <c r="L231" s="110">
        <v>100663000</v>
      </c>
      <c r="M231" s="110">
        <v>0</v>
      </c>
      <c r="N231" s="85">
        <f>COUNTIF($F$1:F230,F230)</f>
        <v>2</v>
      </c>
    </row>
    <row r="232" spans="1:14" hidden="1">
      <c r="A232" s="80">
        <v>11.202299999999999</v>
      </c>
      <c r="B232" s="83" t="s">
        <v>316</v>
      </c>
      <c r="C232" s="82">
        <v>45243</v>
      </c>
      <c r="D232" s="83"/>
      <c r="E232" s="83" t="s">
        <v>317</v>
      </c>
      <c r="F232" s="83" t="s">
        <v>317</v>
      </c>
      <c r="G232" s="106">
        <v>-39000000000</v>
      </c>
      <c r="H232" s="84">
        <v>-390000</v>
      </c>
      <c r="I232" s="106">
        <v>-37229400000</v>
      </c>
      <c r="J232" s="110">
        <v>0</v>
      </c>
      <c r="K232" s="85">
        <v>0</v>
      </c>
      <c r="L232" s="110">
        <v>101961</v>
      </c>
      <c r="M232" s="110">
        <v>-2535390000</v>
      </c>
      <c r="N232" s="85">
        <f>COUNTIF($F$1:F231,F231)</f>
        <v>2</v>
      </c>
    </row>
    <row r="233" spans="1:14" hidden="1">
      <c r="A233" s="80">
        <v>6.2023000000000001</v>
      </c>
      <c r="B233" s="83" t="s">
        <v>273</v>
      </c>
      <c r="C233" s="82">
        <v>45103</v>
      </c>
      <c r="D233" s="83"/>
      <c r="E233" s="83" t="s">
        <v>33</v>
      </c>
      <c r="F233" s="83" t="s">
        <v>33</v>
      </c>
      <c r="G233" s="106">
        <v>-25000000000</v>
      </c>
      <c r="H233" s="84">
        <v>-25</v>
      </c>
      <c r="I233" s="112">
        <v>-25073630125</v>
      </c>
      <c r="J233" s="110">
        <v>0</v>
      </c>
      <c r="K233" s="85">
        <v>0</v>
      </c>
      <c r="L233" s="110">
        <v>1000000000</v>
      </c>
      <c r="M233" s="110">
        <v>73630125</v>
      </c>
      <c r="N233" s="85">
        <f>COUNTIF($F$1:F232,F232)</f>
        <v>2</v>
      </c>
    </row>
    <row r="234" spans="1:14" hidden="1">
      <c r="A234" s="80">
        <v>11.202299999999999</v>
      </c>
      <c r="B234" s="81" t="s">
        <v>266</v>
      </c>
      <c r="C234" s="82">
        <v>45239</v>
      </c>
      <c r="D234" s="83"/>
      <c r="E234" s="83" t="s">
        <v>18</v>
      </c>
      <c r="F234" s="83" t="s">
        <v>18</v>
      </c>
      <c r="G234" s="106">
        <v>-50000000000</v>
      </c>
      <c r="H234" s="84">
        <v>-5000</v>
      </c>
      <c r="I234" s="106">
        <v>-49366440000</v>
      </c>
      <c r="J234" s="110">
        <v>20000000000</v>
      </c>
      <c r="K234" s="85">
        <v>2000</v>
      </c>
      <c r="L234" s="110">
        <v>10000000</v>
      </c>
      <c r="M234" s="110">
        <v>-633560000</v>
      </c>
      <c r="N234" s="85">
        <f>COUNTIF($F$1:F233,F233)</f>
        <v>3</v>
      </c>
    </row>
    <row r="235" spans="1:14" hidden="1">
      <c r="A235" s="80">
        <v>11.202299999999999</v>
      </c>
      <c r="B235" s="81" t="s">
        <v>266</v>
      </c>
      <c r="C235" s="82">
        <v>45239</v>
      </c>
      <c r="D235" s="83"/>
      <c r="E235" s="83" t="s">
        <v>279</v>
      </c>
      <c r="F235" s="83" t="s">
        <v>279</v>
      </c>
      <c r="G235" s="106">
        <v>-50000000000</v>
      </c>
      <c r="H235" s="84">
        <v>-5000</v>
      </c>
      <c r="I235" s="106">
        <v>-49095205000</v>
      </c>
      <c r="J235" s="110">
        <v>0</v>
      </c>
      <c r="K235" s="85">
        <v>0</v>
      </c>
      <c r="L235" s="110">
        <v>10000000</v>
      </c>
      <c r="M235" s="110">
        <v>-904795000</v>
      </c>
      <c r="N235" s="85">
        <f>COUNTIF($F$1:F234,F234)</f>
        <v>3</v>
      </c>
    </row>
    <row r="236" spans="1:14" hidden="1">
      <c r="A236" s="80">
        <v>11.202299999999999</v>
      </c>
      <c r="B236" s="81" t="s">
        <v>341</v>
      </c>
      <c r="C236" s="82">
        <v>45245</v>
      </c>
      <c r="D236" s="83"/>
      <c r="E236" s="83" t="s">
        <v>342</v>
      </c>
      <c r="F236" s="83" t="s">
        <v>24</v>
      </c>
      <c r="G236" s="106">
        <v>39000000000</v>
      </c>
      <c r="H236" s="84">
        <v>39</v>
      </c>
      <c r="I236" s="106">
        <v>39059083362</v>
      </c>
      <c r="J236" s="110">
        <v>39059083362</v>
      </c>
      <c r="K236" s="85">
        <v>39</v>
      </c>
      <c r="L236" s="110">
        <v>1001514958</v>
      </c>
      <c r="M236" s="110">
        <v>0</v>
      </c>
      <c r="N236" s="85">
        <f>COUNTIF($F$1:F235,F235)</f>
        <v>3</v>
      </c>
    </row>
    <row r="237" spans="1:14" hidden="1">
      <c r="A237" s="80">
        <v>11.202299999999999</v>
      </c>
      <c r="B237" s="83" t="s">
        <v>208</v>
      </c>
      <c r="C237" s="82">
        <v>45250</v>
      </c>
      <c r="D237" s="83"/>
      <c r="E237" s="83" t="s">
        <v>209</v>
      </c>
      <c r="F237" s="105">
        <v>287209312</v>
      </c>
      <c r="G237" s="106">
        <v>-50000000000</v>
      </c>
      <c r="H237" s="84">
        <v>-1</v>
      </c>
      <c r="I237" s="106">
        <v>-52318630137</v>
      </c>
      <c r="J237" s="110">
        <v>0</v>
      </c>
      <c r="K237" s="85">
        <v>0</v>
      </c>
      <c r="L237" s="110">
        <v>51966963290</v>
      </c>
      <c r="M237" s="110">
        <v>351666847</v>
      </c>
      <c r="N237" s="85">
        <f>COUNTIF($F$1:F236,F236)</f>
        <v>1</v>
      </c>
    </row>
    <row r="238" spans="1:14" hidden="1">
      <c r="A238" s="80">
        <v>11.202299999999999</v>
      </c>
      <c r="B238" s="81" t="s">
        <v>273</v>
      </c>
      <c r="C238" s="82">
        <v>45240</v>
      </c>
      <c r="D238" s="83"/>
      <c r="E238" s="83" t="s">
        <v>33</v>
      </c>
      <c r="F238" s="83" t="s">
        <v>33</v>
      </c>
      <c r="G238" s="106">
        <v>50000000000</v>
      </c>
      <c r="H238" s="84">
        <v>50</v>
      </c>
      <c r="I238" s="106">
        <v>51708773650</v>
      </c>
      <c r="J238" s="110">
        <v>51708773650</v>
      </c>
      <c r="K238" s="85">
        <v>50</v>
      </c>
      <c r="L238" s="110">
        <v>1034175473</v>
      </c>
      <c r="M238" s="110">
        <v>0</v>
      </c>
      <c r="N238" s="85">
        <f>COUNTIF($F$1:F237,F237)</f>
        <v>2</v>
      </c>
    </row>
    <row r="239" spans="1:14" hidden="1">
      <c r="A239" s="80">
        <v>3.2023000000000001</v>
      </c>
      <c r="B239" s="103" t="s">
        <v>327</v>
      </c>
      <c r="C239" s="92">
        <v>45008</v>
      </c>
      <c r="D239" s="94"/>
      <c r="E239" s="94" t="s">
        <v>20</v>
      </c>
      <c r="F239" s="94" t="s">
        <v>20</v>
      </c>
      <c r="G239" s="111" t="s">
        <v>238</v>
      </c>
      <c r="H239" s="95"/>
      <c r="I239" s="109">
        <v>-160413750</v>
      </c>
      <c r="J239" s="109">
        <v>6300000000</v>
      </c>
      <c r="K239" s="90">
        <v>63000</v>
      </c>
      <c r="L239" s="109">
        <v>100000</v>
      </c>
      <c r="M239" s="110">
        <v>0</v>
      </c>
      <c r="N239" s="85">
        <f>COUNTIF($F$1:F238,F238)</f>
        <v>4</v>
      </c>
    </row>
    <row r="240" spans="1:14" hidden="1">
      <c r="A240" s="80">
        <v>3.2023000000000001</v>
      </c>
      <c r="B240" s="81" t="s">
        <v>327</v>
      </c>
      <c r="C240" s="82">
        <v>45008</v>
      </c>
      <c r="D240" s="83"/>
      <c r="E240" s="83" t="s">
        <v>20</v>
      </c>
      <c r="F240" s="83" t="s">
        <v>20</v>
      </c>
      <c r="G240" s="106">
        <v>-60700000</v>
      </c>
      <c r="H240" s="84">
        <v>-607</v>
      </c>
      <c r="I240" s="106">
        <v>-60667127</v>
      </c>
      <c r="J240" s="110">
        <v>6239300000</v>
      </c>
      <c r="K240" s="85">
        <v>62393</v>
      </c>
      <c r="L240" s="110">
        <v>100000</v>
      </c>
      <c r="M240" s="110">
        <v>-32873</v>
      </c>
      <c r="N240" s="85">
        <f>COUNTIF($F$1:F239,F239)</f>
        <v>2</v>
      </c>
    </row>
    <row r="241" spans="1:14" hidden="1">
      <c r="A241" s="80">
        <v>12.202299999999999</v>
      </c>
      <c r="B241" s="83" t="s">
        <v>343</v>
      </c>
      <c r="C241" s="82">
        <v>45279</v>
      </c>
      <c r="D241" s="83" t="s">
        <v>218</v>
      </c>
      <c r="E241" s="100" t="s">
        <v>29</v>
      </c>
      <c r="F241" s="100" t="s">
        <v>29</v>
      </c>
      <c r="G241" s="110">
        <v>39950000000</v>
      </c>
      <c r="H241" s="84">
        <v>1</v>
      </c>
      <c r="I241" s="106">
        <v>43146399500</v>
      </c>
      <c r="J241" s="110">
        <v>43146399500</v>
      </c>
      <c r="K241" s="85">
        <v>1</v>
      </c>
      <c r="L241" s="110">
        <v>43146399500</v>
      </c>
      <c r="M241" s="110">
        <v>0</v>
      </c>
      <c r="N241" s="85">
        <f>COUNTIF($F$1:F240,F240)</f>
        <v>3</v>
      </c>
    </row>
    <row r="242" spans="1:14" hidden="1">
      <c r="A242" s="80">
        <v>12.202299999999999</v>
      </c>
      <c r="B242" s="83" t="s">
        <v>343</v>
      </c>
      <c r="C242" s="82">
        <v>45279</v>
      </c>
      <c r="D242" s="83" t="s">
        <v>218</v>
      </c>
      <c r="E242" s="100" t="s">
        <v>27</v>
      </c>
      <c r="F242" s="100" t="s">
        <v>27</v>
      </c>
      <c r="G242" s="110">
        <v>10000000000</v>
      </c>
      <c r="H242" s="84">
        <v>1</v>
      </c>
      <c r="I242" s="106">
        <v>10774200000</v>
      </c>
      <c r="J242" s="110">
        <v>10774200000</v>
      </c>
      <c r="K242" s="85">
        <v>1</v>
      </c>
      <c r="L242" s="110">
        <v>10774200000</v>
      </c>
      <c r="M242" s="110">
        <v>0</v>
      </c>
      <c r="N242" s="85">
        <f>COUNTIF($F$1:F241,F241)</f>
        <v>1</v>
      </c>
    </row>
    <row r="243" spans="1:14" hidden="1">
      <c r="A243" s="80">
        <v>12.202299999999999</v>
      </c>
      <c r="B243" s="83" t="s">
        <v>199</v>
      </c>
      <c r="C243" s="82">
        <v>45289</v>
      </c>
      <c r="D243" s="83" t="s">
        <v>344</v>
      </c>
      <c r="E243" s="83" t="s">
        <v>200</v>
      </c>
      <c r="F243" s="83" t="s">
        <v>345</v>
      </c>
      <c r="G243" s="106">
        <v>5000000000</v>
      </c>
      <c r="H243" s="84">
        <v>1</v>
      </c>
      <c r="I243" s="106">
        <v>5000000000</v>
      </c>
      <c r="J243" s="110">
        <v>5000000000</v>
      </c>
      <c r="K243" s="85">
        <v>1</v>
      </c>
      <c r="L243" s="110">
        <v>5000000000</v>
      </c>
      <c r="M243" s="110">
        <v>0</v>
      </c>
      <c r="N243" s="85">
        <f>COUNTIF($F$1:F242,F242)</f>
        <v>1</v>
      </c>
    </row>
    <row r="244" spans="1:14" hidden="1">
      <c r="A244" s="80">
        <v>12.202299999999999</v>
      </c>
      <c r="B244" s="83" t="s">
        <v>199</v>
      </c>
      <c r="C244" s="82">
        <v>45289</v>
      </c>
      <c r="D244" s="83" t="s">
        <v>344</v>
      </c>
      <c r="E244" s="83" t="s">
        <v>200</v>
      </c>
      <c r="F244" s="83" t="s">
        <v>346</v>
      </c>
      <c r="G244" s="106">
        <v>5000000000</v>
      </c>
      <c r="H244" s="84">
        <v>1</v>
      </c>
      <c r="I244" s="106">
        <v>5000000000</v>
      </c>
      <c r="J244" s="110">
        <v>5000000000</v>
      </c>
      <c r="K244" s="85">
        <v>1</v>
      </c>
      <c r="L244" s="110">
        <v>5000000000</v>
      </c>
      <c r="M244" s="110">
        <v>0</v>
      </c>
      <c r="N244" s="85">
        <f>COUNTIF($F$1:F243,F243)</f>
        <v>1</v>
      </c>
    </row>
    <row r="245" spans="1:14" hidden="1">
      <c r="A245" s="80">
        <v>12.202299999999999</v>
      </c>
      <c r="B245" s="83" t="s">
        <v>199</v>
      </c>
      <c r="C245" s="82">
        <v>45289</v>
      </c>
      <c r="D245" s="83" t="s">
        <v>344</v>
      </c>
      <c r="E245" s="83" t="s">
        <v>200</v>
      </c>
      <c r="F245" s="83" t="s">
        <v>347</v>
      </c>
      <c r="G245" s="106">
        <v>5000000000</v>
      </c>
      <c r="H245" s="84">
        <v>1</v>
      </c>
      <c r="I245" s="106">
        <v>5000000000</v>
      </c>
      <c r="J245" s="110">
        <v>5000000000</v>
      </c>
      <c r="K245" s="85">
        <v>1</v>
      </c>
      <c r="L245" s="110">
        <v>5000000000</v>
      </c>
      <c r="M245" s="110">
        <v>0</v>
      </c>
      <c r="N245" s="85">
        <f>COUNTIF($F$1:F244,F244)</f>
        <v>1</v>
      </c>
    </row>
    <row r="246" spans="1:14" hidden="1">
      <c r="I246" s="173">
        <f>I106/50*20</f>
        <v>21023769220</v>
      </c>
    </row>
    <row r="247" spans="1:14">
      <c r="J247" s="11"/>
      <c r="K247" s="231"/>
      <c r="L247" s="231"/>
    </row>
    <row r="248" spans="1:14">
      <c r="J248" s="233"/>
      <c r="K248" s="232"/>
    </row>
  </sheetData>
  <autoFilter ref="A1:N246" xr:uid="{5E57C0D4-E73D-4D88-BBE9-02DD5F49E6E0}">
    <filterColumn colId="5">
      <filters>
        <filter val="TTCCH2124003"/>
      </filters>
    </filterColumn>
    <sortState xmlns:xlrd2="http://schemas.microsoft.com/office/spreadsheetml/2017/richdata2" ref="A55:N212">
      <sortCondition ref="F1:F246"/>
    </sortState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5FC2-EDB3-42E6-B104-848BE3A6B709}">
  <sheetPr codeName="Sheet4">
    <tabColor theme="5" tint="0.79998168889431442"/>
  </sheetPr>
  <dimension ref="A1:J22"/>
  <sheetViews>
    <sheetView zoomScale="85" zoomScaleNormal="85" workbookViewId="0">
      <selection activeCell="I7" sqref="I7"/>
    </sheetView>
  </sheetViews>
  <sheetFormatPr defaultRowHeight="14.5"/>
  <cols>
    <col min="1" max="1" width="45.453125" bestFit="1" customWidth="1"/>
    <col min="2" max="2" width="21.1796875" bestFit="1" customWidth="1"/>
    <col min="3" max="3" width="16.453125" bestFit="1" customWidth="1"/>
    <col min="6" max="6" width="11.453125" bestFit="1" customWidth="1"/>
    <col min="7" max="7" width="17.453125" bestFit="1" customWidth="1"/>
    <col min="8" max="8" width="9" bestFit="1" customWidth="1"/>
    <col min="9" max="9" width="18.453125" bestFit="1" customWidth="1"/>
    <col min="10" max="10" width="9" bestFit="1" customWidth="1"/>
  </cols>
  <sheetData>
    <row r="1" spans="1:10" ht="26.5">
      <c r="A1" s="3"/>
      <c r="B1" s="275" t="s">
        <v>348</v>
      </c>
      <c r="C1" s="276" t="s">
        <v>349</v>
      </c>
      <c r="F1" s="3"/>
      <c r="G1" s="328" t="s">
        <v>350</v>
      </c>
      <c r="H1" s="328" t="s">
        <v>351</v>
      </c>
      <c r="I1" s="328" t="s">
        <v>352</v>
      </c>
      <c r="J1" s="328" t="s">
        <v>353</v>
      </c>
    </row>
    <row r="2" spans="1:10">
      <c r="A2" s="277" t="s">
        <v>354</v>
      </c>
      <c r="B2" s="3"/>
      <c r="C2" s="3"/>
      <c r="F2" s="277" t="s">
        <v>355</v>
      </c>
      <c r="G2" s="278"/>
      <c r="H2" s="278"/>
      <c r="I2" s="278"/>
      <c r="J2" s="278"/>
    </row>
    <row r="3" spans="1:10">
      <c r="A3" s="277" t="s">
        <v>356</v>
      </c>
      <c r="B3" s="278">
        <f>SUM(B4:B9)</f>
        <v>361357217945</v>
      </c>
      <c r="C3" s="278">
        <f>SUM(C4:C9)</f>
        <v>799921291311</v>
      </c>
      <c r="F3" s="3" t="s">
        <v>357</v>
      </c>
      <c r="G3" s="5"/>
      <c r="H3" s="4"/>
      <c r="I3" s="5"/>
      <c r="J3" s="5"/>
    </row>
    <row r="4" spans="1:10">
      <c r="A4" s="3" t="s">
        <v>16</v>
      </c>
      <c r="B4" s="4">
        <f>ROUND(SUMIFS('NTFS - Supporting'!J:J,'NTFS - Supporting'!D:D,NTFS!A4),0)</f>
        <v>108100349554</v>
      </c>
      <c r="C4" s="4">
        <f>ROUND(SUMIFS('NTFS - Supporting'!G:G,'NTFS - Supporting'!D:D,NTFS!A4),0)</f>
        <v>0</v>
      </c>
      <c r="F4" s="3" t="s">
        <v>358</v>
      </c>
      <c r="G4" s="5"/>
      <c r="H4" s="4"/>
      <c r="I4" s="5"/>
      <c r="J4" s="5"/>
    </row>
    <row r="5" spans="1:10">
      <c r="A5" s="3" t="s">
        <v>25</v>
      </c>
      <c r="B5" s="4">
        <f>ROUND(SUMIFS('NTFS - Supporting'!J:J,'NTFS - Supporting'!D:D,NTFS!A5),0)</f>
        <v>49550258288</v>
      </c>
      <c r="C5" s="4">
        <f>ROUND(SUMIFS('NTFS - Supporting'!G:G,'NTFS - Supporting'!D:D,NTFS!A5),0)</f>
        <v>53651709324</v>
      </c>
      <c r="F5" s="3"/>
      <c r="G5" s="3"/>
      <c r="H5" s="4"/>
      <c r="I5" s="3"/>
      <c r="J5" s="3"/>
    </row>
    <row r="6" spans="1:10">
      <c r="A6" s="3" t="s">
        <v>26</v>
      </c>
      <c r="B6" s="4">
        <f>ROUND(SUMIFS('NTFS - Supporting'!J:J,'NTFS - Supporting'!D:D,NTFS!A6),0)</f>
        <v>49252283502</v>
      </c>
      <c r="C6" s="4">
        <f>ROUND(SUMIFS('NTFS - Supporting'!G:G,'NTFS - Supporting'!D:D,NTFS!A6),0)</f>
        <v>53561531015</v>
      </c>
      <c r="F6" s="277" t="s">
        <v>359</v>
      </c>
      <c r="G6" s="278">
        <f>SUM(G7:G8)</f>
        <v>71556626500</v>
      </c>
      <c r="H6" s="279">
        <f>SUM(H7:H8)</f>
        <v>0</v>
      </c>
      <c r="I6" s="278">
        <f>SUM(I7:I8)</f>
        <v>404223243466</v>
      </c>
      <c r="J6" s="278">
        <f>SUM(J7:J8)</f>
        <v>0</v>
      </c>
    </row>
    <row r="7" spans="1:10">
      <c r="A7" s="3" t="s">
        <v>29</v>
      </c>
      <c r="B7" s="4">
        <f>ROUND(SUMIFS('NTFS - Supporting'!J:J,'NTFS - Supporting'!D:D,NTFS!A7),0)</f>
        <v>34016226500</v>
      </c>
      <c r="C7" s="4">
        <f>ROUND(SUMIFS('NTFS - Supporting'!G:G,'NTFS - Supporting'!D:D,NTFS!A7),0)</f>
        <v>0</v>
      </c>
      <c r="F7" s="3" t="s">
        <v>354</v>
      </c>
      <c r="G7" s="4">
        <v>71556626500</v>
      </c>
      <c r="H7" s="4"/>
      <c r="I7" s="4">
        <f>ROUND(404223243465.854,0)</f>
        <v>404223243466</v>
      </c>
      <c r="J7" s="5"/>
    </row>
    <row r="8" spans="1:10">
      <c r="A8" s="3" t="s">
        <v>24</v>
      </c>
      <c r="B8" s="4">
        <f>ROUND(SUMIFS('NTFS - Supporting'!J:J,'NTFS - Supporting'!D:D,NTFS!A8),0)</f>
        <v>36768982535</v>
      </c>
      <c r="C8" s="4">
        <f>ROUND(SUMIFS('NTFS - Supporting'!G:G,'NTFS - Supporting'!D:D,NTFS!A8),0)</f>
        <v>0</v>
      </c>
      <c r="F8" s="3" t="s">
        <v>360</v>
      </c>
      <c r="G8" s="4"/>
      <c r="H8" s="4"/>
      <c r="I8" s="5"/>
      <c r="J8" s="5"/>
    </row>
    <row r="9" spans="1:10">
      <c r="A9" s="3" t="s">
        <v>361</v>
      </c>
      <c r="B9" s="4">
        <f>ROUND(SUMIFS('NTFS - Supporting'!J:J,'NTFS - Supporting'!F:F,"Trái phiếu",'NTFS - Supporting'!C:C,"CI")+SUMIFS('NTFS - Supporting'!J:J,'NTFS - Supporting'!F:F,"Repo",'NTFS - Supporting'!C:C,"CI")-SUM(B4:B8),0)</f>
        <v>83669117566</v>
      </c>
      <c r="C9" s="4">
        <f>ROUND(SUMIFS('NTFS - Supporting'!G:G,'NTFS - Supporting'!F:F,"Trái phiếu",'NTFS - Supporting'!C:C,"CI")+SUMIFS('NTFS - Supporting'!G:G,'NTFS - Supporting'!F:F,"Repo",'NTFS - Supporting'!C:C,"CI")-SUM(C4:C8),0)</f>
        <v>692708050972</v>
      </c>
      <c r="F9" s="277" t="s">
        <v>362</v>
      </c>
      <c r="G9" s="329">
        <f>SUM(G6,G2)</f>
        <v>71556626500</v>
      </c>
      <c r="H9" s="329">
        <f t="shared" ref="H9:J9" si="0">SUM(H6,H2)</f>
        <v>0</v>
      </c>
      <c r="I9" s="329">
        <f t="shared" si="0"/>
        <v>404223243466</v>
      </c>
      <c r="J9" s="329">
        <f t="shared" si="0"/>
        <v>0</v>
      </c>
    </row>
    <row r="10" spans="1:10">
      <c r="A10" s="3"/>
      <c r="B10" s="3"/>
      <c r="C10" s="3"/>
      <c r="F10" s="3"/>
      <c r="G10" s="3"/>
      <c r="H10" s="4"/>
      <c r="I10" s="3"/>
      <c r="J10" s="3"/>
    </row>
    <row r="11" spans="1:10">
      <c r="A11" s="277" t="s">
        <v>363</v>
      </c>
      <c r="B11" s="278">
        <f>SUM(B12:B17)</f>
        <v>114422652021</v>
      </c>
      <c r="C11" s="278">
        <f>SUM(C12:C17)</f>
        <v>224543875749</v>
      </c>
      <c r="F11" s="277" t="s">
        <v>364</v>
      </c>
      <c r="G11" s="3"/>
      <c r="H11" s="4"/>
      <c r="I11" s="3"/>
      <c r="J11" s="3"/>
    </row>
    <row r="12" spans="1:10">
      <c r="A12" s="3" t="s">
        <v>90</v>
      </c>
      <c r="B12" s="4">
        <f>ROUND(SUMIFS('NTFS - Supporting'!J:J,'NTFS - Supporting'!D:D,NTFS!A12),0)</f>
        <v>50705611226</v>
      </c>
      <c r="C12" s="4">
        <f>ROUND(SUMIFS('NTFS - Supporting'!G:G,'NTFS - Supporting'!D:D,NTFS!A12),0)</f>
        <v>0</v>
      </c>
      <c r="F12" s="3" t="s">
        <v>357</v>
      </c>
      <c r="G12" s="330"/>
      <c r="H12" s="4"/>
      <c r="I12" s="330"/>
      <c r="J12" s="5"/>
    </row>
    <row r="13" spans="1:10">
      <c r="A13" s="3" t="s">
        <v>94</v>
      </c>
      <c r="B13" s="4">
        <f>ROUND(SUMIFS('NTFS - Supporting'!J:J,'NTFS - Supporting'!D:D,NTFS!A13),0)</f>
        <v>35008533287</v>
      </c>
      <c r="C13" s="4">
        <f>ROUND(SUMIFS('NTFS - Supporting'!G:G,'NTFS - Supporting'!D:D,NTFS!A13),0)</f>
        <v>0</v>
      </c>
      <c r="F13" s="3" t="s">
        <v>358</v>
      </c>
      <c r="G13" s="330"/>
      <c r="H13" s="4"/>
      <c r="I13" s="330"/>
      <c r="J13" s="5"/>
    </row>
    <row r="14" spans="1:10">
      <c r="A14" s="3" t="s">
        <v>13</v>
      </c>
      <c r="B14" s="4">
        <f>ROUND(SUMIFS('NTFS - Supporting'!J:J,'NTFS - Supporting'!D:D,NTFS!A14),0)</f>
        <v>12763474253</v>
      </c>
      <c r="C14" s="4">
        <f>ROUND(SUMIFS('NTFS - Supporting'!G:G,'NTFS - Supporting'!D:D,NTFS!A14),0)</f>
        <v>20443013699</v>
      </c>
      <c r="F14" s="277" t="s">
        <v>365</v>
      </c>
      <c r="G14" s="329">
        <f>SUM(G12:G13)</f>
        <v>0</v>
      </c>
      <c r="H14" s="329">
        <f t="shared" ref="H14:J14" si="1">SUM(H12:H13)</f>
        <v>0</v>
      </c>
      <c r="I14" s="329">
        <f t="shared" si="1"/>
        <v>0</v>
      </c>
      <c r="J14" s="329">
        <f t="shared" si="1"/>
        <v>0</v>
      </c>
    </row>
    <row r="15" spans="1:10" ht="15" thickBot="1">
      <c r="A15" s="3" t="s">
        <v>20</v>
      </c>
      <c r="B15" s="4">
        <f>ROUND(SUMIFS('NTFS - Supporting'!J:J,'NTFS - Supporting'!D:D,NTFS!A15),0)</f>
        <v>6747380840</v>
      </c>
      <c r="C15" s="4">
        <f>ROUND(SUMIFS('NTFS - Supporting'!G:G,'NTFS - Supporting'!D:D,NTFS!A15),0)</f>
        <v>6612649366</v>
      </c>
      <c r="F15" s="3"/>
      <c r="G15" s="331">
        <f>SUM(G9,G14)</f>
        <v>71556626500</v>
      </c>
      <c r="H15" s="331">
        <f t="shared" ref="H15:J15" si="2">SUM(H9,H14)</f>
        <v>0</v>
      </c>
      <c r="I15" s="331">
        <f t="shared" si="2"/>
        <v>404223243466</v>
      </c>
      <c r="J15" s="331">
        <f t="shared" si="2"/>
        <v>0</v>
      </c>
    </row>
    <row r="16" spans="1:10" ht="15" thickTop="1">
      <c r="A16" s="3" t="s">
        <v>21</v>
      </c>
      <c r="B16" s="4">
        <f>ROUND(SUMIFS('NTFS - Supporting'!J:J,'NTFS - Supporting'!D:D,NTFS!A16),0)</f>
        <v>5101100000</v>
      </c>
      <c r="C16" s="4">
        <f>ROUND(SUMIFS('NTFS - Supporting'!G:G,'NTFS - Supporting'!D:D,NTFS!A16),0)</f>
        <v>5231293836</v>
      </c>
    </row>
    <row r="17" spans="1:3">
      <c r="A17" s="3" t="s">
        <v>361</v>
      </c>
      <c r="B17" s="4">
        <f>ROUND(SUMIFS('NTFS - Supporting'!J:J,'NTFS - Supporting'!F:F,"Trái phiếu",'NTFS - Supporting'!C:C,"Corp")+SUMIFS('NTFS - Supporting'!J:J,'NTFS - Supporting'!F:F,"Repo",'NTFS - Supporting'!C:C,"Corp")-SUM(B12:B16),0)</f>
        <v>4096552415</v>
      </c>
      <c r="C17" s="4">
        <f>ROUND(SUMIFS('NTFS - Supporting'!G:G,'NTFS - Supporting'!F:F,"Trái phiếu",'NTFS - Supporting'!C:C,"Corp")+SUMIFS('NTFS - Supporting'!G:G,'NTFS - Supporting'!F:F,"Repo",'NTFS - Supporting'!C:C,"Corp")-SUM(C12:C16),0)</f>
        <v>192256918848</v>
      </c>
    </row>
    <row r="18" spans="1:3">
      <c r="A18" s="277" t="s">
        <v>366</v>
      </c>
      <c r="B18" s="279">
        <f>ROUND(SUMIFS('NTFS - Supporting'!J:J,'NTFS - Supporting'!F:F,"Chứng chỉ tiền gửi"),0)</f>
        <v>583689831064</v>
      </c>
      <c r="C18" s="279">
        <f>SUMIFS('NTFS - Supporting'!G:G,'NTFS - Supporting'!F:F,"Chứng chỉ tiền gửi")</f>
        <v>84463572560</v>
      </c>
    </row>
    <row r="19" spans="1:3">
      <c r="A19" s="3" t="s">
        <v>367</v>
      </c>
    </row>
    <row r="21" spans="1:3">
      <c r="B21" s="11">
        <v>1081228103064</v>
      </c>
    </row>
    <row r="22" spans="1:3">
      <c r="B22" s="11">
        <v>1044501738445.3568</v>
      </c>
    </row>
  </sheetData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583C-EA27-4925-9DA7-738CAE14AA6B}">
  <dimension ref="A2:D255"/>
  <sheetViews>
    <sheetView workbookViewId="0"/>
  </sheetViews>
  <sheetFormatPr defaultRowHeight="14.5"/>
  <cols>
    <col min="1" max="1" width="46.453125" bestFit="1" customWidth="1"/>
  </cols>
  <sheetData>
    <row r="2" spans="1:4">
      <c r="A2" t="s">
        <v>368</v>
      </c>
      <c r="B2" t="s">
        <v>369</v>
      </c>
      <c r="C2" t="s">
        <v>370</v>
      </c>
      <c r="D2" t="s">
        <v>86</v>
      </c>
    </row>
    <row r="3" spans="1:4">
      <c r="A3" t="s">
        <v>104</v>
      </c>
      <c r="B3" t="s">
        <v>371</v>
      </c>
      <c r="C3" t="s">
        <v>372</v>
      </c>
      <c r="D3" t="s">
        <v>91</v>
      </c>
    </row>
    <row r="4" spans="1:4">
      <c r="A4" t="s">
        <v>100</v>
      </c>
      <c r="B4" t="s">
        <v>373</v>
      </c>
      <c r="C4" t="s">
        <v>370</v>
      </c>
      <c r="D4" t="s">
        <v>91</v>
      </c>
    </row>
    <row r="5" spans="1:4">
      <c r="A5" t="s">
        <v>105</v>
      </c>
      <c r="B5" t="s">
        <v>371</v>
      </c>
      <c r="C5" t="s">
        <v>372</v>
      </c>
      <c r="D5" t="s">
        <v>91</v>
      </c>
    </row>
    <row r="6" spans="1:4">
      <c r="A6" t="s">
        <v>106</v>
      </c>
      <c r="B6" t="s">
        <v>371</v>
      </c>
      <c r="C6" t="s">
        <v>372</v>
      </c>
      <c r="D6" t="s">
        <v>91</v>
      </c>
    </row>
    <row r="7" spans="1:4">
      <c r="A7" t="s">
        <v>107</v>
      </c>
      <c r="B7" t="s">
        <v>371</v>
      </c>
      <c r="C7" t="s">
        <v>372</v>
      </c>
      <c r="D7" t="s">
        <v>91</v>
      </c>
    </row>
    <row r="8" spans="1:4">
      <c r="A8" t="s">
        <v>115</v>
      </c>
      <c r="B8" t="s">
        <v>371</v>
      </c>
      <c r="C8" t="s">
        <v>372</v>
      </c>
      <c r="D8" t="s">
        <v>91</v>
      </c>
    </row>
    <row r="9" spans="1:4">
      <c r="A9" t="s">
        <v>108</v>
      </c>
      <c r="B9" t="s">
        <v>371</v>
      </c>
      <c r="C9" t="s">
        <v>372</v>
      </c>
      <c r="D9" t="s">
        <v>91</v>
      </c>
    </row>
    <row r="10" spans="1:4">
      <c r="A10" t="s">
        <v>109</v>
      </c>
      <c r="B10" t="s">
        <v>371</v>
      </c>
      <c r="C10" t="s">
        <v>372</v>
      </c>
      <c r="D10" t="s">
        <v>91</v>
      </c>
    </row>
    <row r="11" spans="1:4">
      <c r="A11" t="s">
        <v>110</v>
      </c>
      <c r="B11" t="s">
        <v>371</v>
      </c>
      <c r="C11" t="s">
        <v>372</v>
      </c>
      <c r="D11" t="s">
        <v>91</v>
      </c>
    </row>
    <row r="12" spans="1:4">
      <c r="A12" t="s">
        <v>114</v>
      </c>
      <c r="B12" t="s">
        <v>371</v>
      </c>
      <c r="C12" t="s">
        <v>372</v>
      </c>
      <c r="D12" t="s">
        <v>91</v>
      </c>
    </row>
    <row r="13" spans="1:4">
      <c r="A13" t="s">
        <v>122</v>
      </c>
      <c r="B13" t="s">
        <v>374</v>
      </c>
      <c r="C13" t="s">
        <v>370</v>
      </c>
      <c r="D13" t="s">
        <v>86</v>
      </c>
    </row>
    <row r="14" spans="1:4">
      <c r="A14" t="s">
        <v>116</v>
      </c>
      <c r="B14" t="s">
        <v>371</v>
      </c>
      <c r="C14" t="s">
        <v>372</v>
      </c>
      <c r="D14" t="s">
        <v>91</v>
      </c>
    </row>
    <row r="15" spans="1:4">
      <c r="A15" t="s">
        <v>111</v>
      </c>
      <c r="B15" t="s">
        <v>371</v>
      </c>
      <c r="C15" t="s">
        <v>372</v>
      </c>
      <c r="D15" t="s">
        <v>91</v>
      </c>
    </row>
    <row r="16" spans="1:4">
      <c r="A16" t="s">
        <v>112</v>
      </c>
      <c r="B16" t="s">
        <v>371</v>
      </c>
      <c r="C16" t="s">
        <v>372</v>
      </c>
      <c r="D16" t="s">
        <v>91</v>
      </c>
    </row>
    <row r="17" spans="1:4">
      <c r="A17" t="s">
        <v>375</v>
      </c>
      <c r="B17" t="s">
        <v>376</v>
      </c>
      <c r="C17" t="s">
        <v>372</v>
      </c>
      <c r="D17" t="s">
        <v>86</v>
      </c>
    </row>
    <row r="18" spans="1:4">
      <c r="A18" t="s">
        <v>102</v>
      </c>
      <c r="B18" t="s">
        <v>373</v>
      </c>
      <c r="C18" t="s">
        <v>370</v>
      </c>
      <c r="D18" t="s">
        <v>91</v>
      </c>
    </row>
    <row r="19" spans="1:4">
      <c r="A19" t="s">
        <v>117</v>
      </c>
      <c r="B19" t="s">
        <v>371</v>
      </c>
      <c r="C19" t="s">
        <v>372</v>
      </c>
      <c r="D19" t="s">
        <v>91</v>
      </c>
    </row>
    <row r="20" spans="1:4">
      <c r="A20" t="s">
        <v>113</v>
      </c>
      <c r="B20" t="s">
        <v>371</v>
      </c>
      <c r="C20" t="s">
        <v>372</v>
      </c>
      <c r="D20" t="s">
        <v>91</v>
      </c>
    </row>
    <row r="21" spans="1:4">
      <c r="A21" t="s">
        <v>23</v>
      </c>
      <c r="B21" t="s">
        <v>377</v>
      </c>
      <c r="C21" t="s">
        <v>370</v>
      </c>
      <c r="D21" t="s">
        <v>91</v>
      </c>
    </row>
    <row r="22" spans="1:4">
      <c r="A22" t="s">
        <v>120</v>
      </c>
      <c r="B22" t="s">
        <v>378</v>
      </c>
      <c r="C22" t="s">
        <v>372</v>
      </c>
      <c r="D22" t="s">
        <v>91</v>
      </c>
    </row>
    <row r="23" spans="1:4">
      <c r="A23" t="s">
        <v>101</v>
      </c>
      <c r="B23" t="s">
        <v>373</v>
      </c>
      <c r="C23" t="s">
        <v>370</v>
      </c>
      <c r="D23" t="s">
        <v>91</v>
      </c>
    </row>
    <row r="24" spans="1:4">
      <c r="A24" t="s">
        <v>25</v>
      </c>
      <c r="B24" t="s">
        <v>379</v>
      </c>
      <c r="C24" t="s">
        <v>372</v>
      </c>
      <c r="D24" t="s">
        <v>91</v>
      </c>
    </row>
    <row r="25" spans="1:4">
      <c r="A25" t="s">
        <v>25</v>
      </c>
      <c r="B25" t="s">
        <v>380</v>
      </c>
      <c r="C25">
        <v>0</v>
      </c>
      <c r="D25">
        <v>0</v>
      </c>
    </row>
    <row r="26" spans="1:4">
      <c r="A26" t="s">
        <v>26</v>
      </c>
      <c r="B26" t="s">
        <v>379</v>
      </c>
      <c r="C26" t="s">
        <v>372</v>
      </c>
      <c r="D26" t="s">
        <v>91</v>
      </c>
    </row>
    <row r="27" spans="1:4">
      <c r="A27" t="s">
        <v>121</v>
      </c>
      <c r="B27" t="s">
        <v>378</v>
      </c>
      <c r="C27" t="s">
        <v>372</v>
      </c>
      <c r="D27" t="s">
        <v>91</v>
      </c>
    </row>
    <row r="28" spans="1:4">
      <c r="A28" t="s">
        <v>118</v>
      </c>
      <c r="B28" t="s">
        <v>378</v>
      </c>
      <c r="C28" t="s">
        <v>372</v>
      </c>
      <c r="D28" t="s">
        <v>91</v>
      </c>
    </row>
    <row r="29" spans="1:4">
      <c r="A29" t="s">
        <v>99</v>
      </c>
      <c r="B29" t="s">
        <v>381</v>
      </c>
      <c r="C29" t="s">
        <v>370</v>
      </c>
      <c r="D29" t="s">
        <v>91</v>
      </c>
    </row>
    <row r="30" spans="1:4">
      <c r="A30" t="s">
        <v>99</v>
      </c>
      <c r="B30" t="s">
        <v>380</v>
      </c>
      <c r="C30">
        <v>0</v>
      </c>
      <c r="D30">
        <v>0</v>
      </c>
    </row>
    <row r="31" spans="1:4">
      <c r="A31" t="s">
        <v>20</v>
      </c>
      <c r="B31" t="s">
        <v>381</v>
      </c>
      <c r="C31" t="s">
        <v>370</v>
      </c>
      <c r="D31" t="s">
        <v>91</v>
      </c>
    </row>
    <row r="32" spans="1:4">
      <c r="A32" t="s">
        <v>20</v>
      </c>
      <c r="B32" t="s">
        <v>380</v>
      </c>
      <c r="C32">
        <v>0</v>
      </c>
      <c r="D32">
        <v>0</v>
      </c>
    </row>
    <row r="33" spans="1:4">
      <c r="A33" t="s">
        <v>119</v>
      </c>
      <c r="B33" t="s">
        <v>378</v>
      </c>
      <c r="C33" t="s">
        <v>372</v>
      </c>
      <c r="D33" t="s">
        <v>91</v>
      </c>
    </row>
    <row r="34" spans="1:4">
      <c r="A34" t="s">
        <v>13</v>
      </c>
      <c r="B34" t="s">
        <v>382</v>
      </c>
      <c r="C34" t="s">
        <v>370</v>
      </c>
      <c r="D34" t="s">
        <v>91</v>
      </c>
    </row>
    <row r="35" spans="1:4">
      <c r="A35" t="s">
        <v>98</v>
      </c>
      <c r="B35" t="s">
        <v>383</v>
      </c>
      <c r="C35" t="s">
        <v>372</v>
      </c>
      <c r="D35" t="s">
        <v>91</v>
      </c>
    </row>
    <row r="36" spans="1:4">
      <c r="A36" t="s">
        <v>21</v>
      </c>
      <c r="B36" t="s">
        <v>384</v>
      </c>
      <c r="C36" t="s">
        <v>370</v>
      </c>
      <c r="D36" t="s">
        <v>86</v>
      </c>
    </row>
    <row r="37" spans="1:4">
      <c r="A37" t="s">
        <v>18</v>
      </c>
      <c r="B37" t="s">
        <v>385</v>
      </c>
      <c r="C37" t="s">
        <v>372</v>
      </c>
      <c r="D37" t="s">
        <v>91</v>
      </c>
    </row>
    <row r="38" spans="1:4">
      <c r="A38" t="s">
        <v>19</v>
      </c>
      <c r="B38" t="s">
        <v>385</v>
      </c>
      <c r="C38" t="s">
        <v>372</v>
      </c>
      <c r="D38" t="s">
        <v>91</v>
      </c>
    </row>
    <row r="39" spans="1:4">
      <c r="A39" t="s">
        <v>279</v>
      </c>
      <c r="B39" t="s">
        <v>385</v>
      </c>
      <c r="C39" t="s">
        <v>372</v>
      </c>
      <c r="D39" t="s">
        <v>91</v>
      </c>
    </row>
    <row r="40" spans="1:4">
      <c r="A40" t="s">
        <v>386</v>
      </c>
      <c r="B40" t="s">
        <v>387</v>
      </c>
      <c r="C40" t="s">
        <v>388</v>
      </c>
      <c r="D40" t="s">
        <v>389</v>
      </c>
    </row>
    <row r="41" spans="1:4">
      <c r="A41" t="s">
        <v>390</v>
      </c>
      <c r="B41" t="s">
        <v>387</v>
      </c>
      <c r="C41" t="s">
        <v>388</v>
      </c>
      <c r="D41" t="s">
        <v>389</v>
      </c>
    </row>
    <row r="42" spans="1:4">
      <c r="A42" t="s">
        <v>391</v>
      </c>
      <c r="B42" t="s">
        <v>392</v>
      </c>
      <c r="C42" t="s">
        <v>393</v>
      </c>
      <c r="D42" t="s">
        <v>393</v>
      </c>
    </row>
    <row r="43" spans="1:4">
      <c r="A43" t="s">
        <v>394</v>
      </c>
      <c r="B43" t="s">
        <v>392</v>
      </c>
      <c r="C43" t="s">
        <v>393</v>
      </c>
      <c r="D43" t="s">
        <v>393</v>
      </c>
    </row>
    <row r="44" spans="1:4">
      <c r="A44" t="s">
        <v>395</v>
      </c>
      <c r="B44" t="s">
        <v>392</v>
      </c>
      <c r="C44" t="s">
        <v>393</v>
      </c>
      <c r="D44" t="s">
        <v>393</v>
      </c>
    </row>
    <row r="45" spans="1:4">
      <c r="A45" t="s">
        <v>396</v>
      </c>
      <c r="B45" t="s">
        <v>392</v>
      </c>
      <c r="C45" t="s">
        <v>393</v>
      </c>
      <c r="D45" t="s">
        <v>393</v>
      </c>
    </row>
    <row r="46" spans="1:4">
      <c r="A46" t="s">
        <v>397</v>
      </c>
      <c r="B46" t="s">
        <v>392</v>
      </c>
      <c r="C46" t="s">
        <v>393</v>
      </c>
      <c r="D46" t="s">
        <v>393</v>
      </c>
    </row>
    <row r="47" spans="1:4">
      <c r="A47" t="s">
        <v>398</v>
      </c>
      <c r="B47" t="s">
        <v>399</v>
      </c>
      <c r="C47" t="s">
        <v>393</v>
      </c>
      <c r="D47" t="s">
        <v>393</v>
      </c>
    </row>
    <row r="48" spans="1:4">
      <c r="A48" t="s">
        <v>400</v>
      </c>
      <c r="B48" t="s">
        <v>401</v>
      </c>
      <c r="C48" t="s">
        <v>393</v>
      </c>
      <c r="D48" t="s">
        <v>393</v>
      </c>
    </row>
    <row r="49" spans="1:4">
      <c r="A49" t="s">
        <v>402</v>
      </c>
      <c r="B49" t="s">
        <v>399</v>
      </c>
      <c r="C49" t="s">
        <v>393</v>
      </c>
      <c r="D49" t="s">
        <v>393</v>
      </c>
    </row>
    <row r="50" spans="1:4">
      <c r="A50" t="s">
        <v>403</v>
      </c>
      <c r="B50" t="s">
        <v>399</v>
      </c>
      <c r="C50" t="s">
        <v>393</v>
      </c>
      <c r="D50" t="s">
        <v>393</v>
      </c>
    </row>
    <row r="51" spans="1:4">
      <c r="A51" t="s">
        <v>404</v>
      </c>
      <c r="B51" t="s">
        <v>399</v>
      </c>
      <c r="C51" t="s">
        <v>393</v>
      </c>
      <c r="D51" t="s">
        <v>393</v>
      </c>
    </row>
    <row r="52" spans="1:4">
      <c r="A52" t="s">
        <v>405</v>
      </c>
      <c r="B52" t="s">
        <v>399</v>
      </c>
      <c r="C52" t="s">
        <v>393</v>
      </c>
      <c r="D52" t="s">
        <v>393</v>
      </c>
    </row>
    <row r="53" spans="1:4">
      <c r="A53" t="s">
        <v>124</v>
      </c>
      <c r="B53" t="s">
        <v>406</v>
      </c>
      <c r="C53" t="s">
        <v>407</v>
      </c>
      <c r="D53" t="s">
        <v>96</v>
      </c>
    </row>
    <row r="54" spans="1:4">
      <c r="A54" t="s">
        <v>125</v>
      </c>
      <c r="B54" t="s">
        <v>406</v>
      </c>
      <c r="C54" t="s">
        <v>407</v>
      </c>
      <c r="D54" t="s">
        <v>96</v>
      </c>
    </row>
    <row r="55" spans="1:4">
      <c r="A55" t="s">
        <v>408</v>
      </c>
      <c r="B55" t="s">
        <v>399</v>
      </c>
      <c r="C55" t="s">
        <v>393</v>
      </c>
      <c r="D55" t="s">
        <v>393</v>
      </c>
    </row>
    <row r="56" spans="1:4">
      <c r="A56" t="s">
        <v>409</v>
      </c>
      <c r="B56" t="s">
        <v>399</v>
      </c>
      <c r="C56" t="s">
        <v>393</v>
      </c>
      <c r="D56" t="s">
        <v>393</v>
      </c>
    </row>
    <row r="57" spans="1:4">
      <c r="A57" t="s">
        <v>410</v>
      </c>
      <c r="B57" t="s">
        <v>399</v>
      </c>
      <c r="C57" t="s">
        <v>393</v>
      </c>
      <c r="D57" t="s">
        <v>393</v>
      </c>
    </row>
    <row r="58" spans="1:4">
      <c r="A58" t="s">
        <v>411</v>
      </c>
      <c r="B58" t="s">
        <v>399</v>
      </c>
      <c r="C58" t="s">
        <v>393</v>
      </c>
      <c r="D58" t="s">
        <v>393</v>
      </c>
    </row>
    <row r="59" spans="1:4">
      <c r="A59" t="s">
        <v>412</v>
      </c>
      <c r="B59" t="s">
        <v>399</v>
      </c>
      <c r="C59" t="s">
        <v>393</v>
      </c>
      <c r="D59" t="s">
        <v>393</v>
      </c>
    </row>
    <row r="60" spans="1:4">
      <c r="A60" t="s">
        <v>413</v>
      </c>
      <c r="B60" t="s">
        <v>399</v>
      </c>
      <c r="C60" t="s">
        <v>393</v>
      </c>
      <c r="D60" t="s">
        <v>393</v>
      </c>
    </row>
    <row r="61" spans="1:4">
      <c r="A61" t="s">
        <v>414</v>
      </c>
      <c r="B61" t="s">
        <v>399</v>
      </c>
      <c r="C61" t="s">
        <v>393</v>
      </c>
      <c r="D61" t="s">
        <v>393</v>
      </c>
    </row>
    <row r="62" spans="1:4">
      <c r="A62" t="s">
        <v>415</v>
      </c>
      <c r="B62" t="s">
        <v>399</v>
      </c>
      <c r="C62" t="s">
        <v>393</v>
      </c>
      <c r="D62" t="s">
        <v>393</v>
      </c>
    </row>
    <row r="63" spans="1:4">
      <c r="A63" t="s">
        <v>416</v>
      </c>
      <c r="B63" t="s">
        <v>399</v>
      </c>
      <c r="C63" t="s">
        <v>393</v>
      </c>
      <c r="D63" t="s">
        <v>393</v>
      </c>
    </row>
    <row r="64" spans="1:4">
      <c r="A64" t="s">
        <v>417</v>
      </c>
      <c r="B64" t="s">
        <v>399</v>
      </c>
      <c r="C64" t="s">
        <v>393</v>
      </c>
      <c r="D64" t="s">
        <v>393</v>
      </c>
    </row>
    <row r="65" spans="1:4">
      <c r="A65" t="s">
        <v>418</v>
      </c>
      <c r="B65" t="s">
        <v>399</v>
      </c>
      <c r="C65" t="s">
        <v>393</v>
      </c>
      <c r="D65" t="s">
        <v>393</v>
      </c>
    </row>
    <row r="66" spans="1:4">
      <c r="A66" t="s">
        <v>419</v>
      </c>
      <c r="B66" t="s">
        <v>399</v>
      </c>
      <c r="C66" t="s">
        <v>393</v>
      </c>
      <c r="D66" t="s">
        <v>393</v>
      </c>
    </row>
    <row r="67" spans="1:4">
      <c r="A67" t="s">
        <v>420</v>
      </c>
      <c r="B67" t="s">
        <v>399</v>
      </c>
      <c r="C67" t="s">
        <v>393</v>
      </c>
      <c r="D67" t="s">
        <v>393</v>
      </c>
    </row>
    <row r="68" spans="1:4">
      <c r="A68" t="s">
        <v>421</v>
      </c>
      <c r="B68" t="s">
        <v>399</v>
      </c>
      <c r="C68" t="s">
        <v>393</v>
      </c>
      <c r="D68" t="s">
        <v>393</v>
      </c>
    </row>
    <row r="69" spans="1:4">
      <c r="A69" t="s">
        <v>422</v>
      </c>
      <c r="B69" t="s">
        <v>423</v>
      </c>
      <c r="C69" t="s">
        <v>393</v>
      </c>
      <c r="D69" t="s">
        <v>393</v>
      </c>
    </row>
    <row r="70" spans="1:4">
      <c r="A70" t="s">
        <v>424</v>
      </c>
      <c r="B70" t="s">
        <v>425</v>
      </c>
      <c r="C70" t="s">
        <v>393</v>
      </c>
      <c r="D70" t="s">
        <v>393</v>
      </c>
    </row>
    <row r="71" spans="1:4">
      <c r="A71" t="s">
        <v>426</v>
      </c>
      <c r="B71" t="s">
        <v>399</v>
      </c>
      <c r="C71" t="s">
        <v>393</v>
      </c>
      <c r="D71" t="s">
        <v>393</v>
      </c>
    </row>
    <row r="72" spans="1:4">
      <c r="A72" t="s">
        <v>186</v>
      </c>
      <c r="B72" t="s">
        <v>427</v>
      </c>
      <c r="C72" t="s">
        <v>393</v>
      </c>
      <c r="D72" t="s">
        <v>393</v>
      </c>
    </row>
    <row r="73" spans="1:4">
      <c r="A73" t="s">
        <v>188</v>
      </c>
      <c r="B73" t="s">
        <v>427</v>
      </c>
      <c r="C73" t="s">
        <v>393</v>
      </c>
      <c r="D73" t="s">
        <v>393</v>
      </c>
    </row>
    <row r="74" spans="1:4">
      <c r="A74" t="s">
        <v>189</v>
      </c>
      <c r="B74" t="s">
        <v>427</v>
      </c>
      <c r="C74" t="s">
        <v>393</v>
      </c>
      <c r="D74" t="s">
        <v>393</v>
      </c>
    </row>
    <row r="75" spans="1:4">
      <c r="A75" t="s">
        <v>123</v>
      </c>
      <c r="B75" t="s">
        <v>406</v>
      </c>
      <c r="C75" t="s">
        <v>407</v>
      </c>
      <c r="D75" t="s">
        <v>96</v>
      </c>
    </row>
    <row r="76" spans="1:4">
      <c r="A76" t="s">
        <v>428</v>
      </c>
      <c r="B76" t="s">
        <v>429</v>
      </c>
      <c r="C76" t="s">
        <v>430</v>
      </c>
      <c r="D76" t="s">
        <v>96</v>
      </c>
    </row>
    <row r="77" spans="1:4">
      <c r="A77" t="s">
        <v>428</v>
      </c>
      <c r="B77" t="s">
        <v>380</v>
      </c>
      <c r="C77">
        <v>0</v>
      </c>
      <c r="D77">
        <v>0</v>
      </c>
    </row>
    <row r="78" spans="1:4">
      <c r="A78" t="s">
        <v>431</v>
      </c>
      <c r="B78" t="s">
        <v>399</v>
      </c>
      <c r="C78" t="s">
        <v>393</v>
      </c>
      <c r="D78" t="s">
        <v>393</v>
      </c>
    </row>
    <row r="79" spans="1:4">
      <c r="A79" t="s">
        <v>432</v>
      </c>
      <c r="B79" t="s">
        <v>399</v>
      </c>
      <c r="C79" t="s">
        <v>393</v>
      </c>
      <c r="D79" t="s">
        <v>393</v>
      </c>
    </row>
    <row r="80" spans="1:4">
      <c r="A80" t="s">
        <v>433</v>
      </c>
      <c r="B80" t="s">
        <v>399</v>
      </c>
      <c r="C80" t="s">
        <v>393</v>
      </c>
      <c r="D80" t="s">
        <v>393</v>
      </c>
    </row>
    <row r="81" spans="1:4">
      <c r="A81" t="s">
        <v>434</v>
      </c>
      <c r="B81" t="s">
        <v>401</v>
      </c>
      <c r="C81" t="s">
        <v>393</v>
      </c>
      <c r="D81" t="s">
        <v>393</v>
      </c>
    </row>
    <row r="82" spans="1:4">
      <c r="A82" t="s">
        <v>435</v>
      </c>
      <c r="B82" t="s">
        <v>401</v>
      </c>
      <c r="C82" t="s">
        <v>393</v>
      </c>
      <c r="D82" t="s">
        <v>393</v>
      </c>
    </row>
    <row r="83" spans="1:4">
      <c r="A83" t="s">
        <v>436</v>
      </c>
      <c r="B83" t="s">
        <v>425</v>
      </c>
      <c r="C83" t="s">
        <v>393</v>
      </c>
      <c r="D83" t="s">
        <v>393</v>
      </c>
    </row>
    <row r="84" spans="1:4">
      <c r="A84" t="s">
        <v>437</v>
      </c>
      <c r="B84" t="s">
        <v>392</v>
      </c>
      <c r="C84" t="s">
        <v>393</v>
      </c>
      <c r="D84" t="s">
        <v>393</v>
      </c>
    </row>
    <row r="85" spans="1:4">
      <c r="A85" t="s">
        <v>438</v>
      </c>
      <c r="B85" t="s">
        <v>439</v>
      </c>
      <c r="C85" t="s">
        <v>393</v>
      </c>
      <c r="D85" t="s">
        <v>393</v>
      </c>
    </row>
    <row r="86" spans="1:4">
      <c r="A86" t="s">
        <v>210</v>
      </c>
      <c r="B86" t="s">
        <v>440</v>
      </c>
      <c r="C86" t="s">
        <v>393</v>
      </c>
      <c r="D86" t="s">
        <v>393</v>
      </c>
    </row>
    <row r="87" spans="1:4">
      <c r="A87" t="s">
        <v>441</v>
      </c>
      <c r="B87" t="s">
        <v>442</v>
      </c>
      <c r="C87" t="s">
        <v>393</v>
      </c>
      <c r="D87" t="s">
        <v>393</v>
      </c>
    </row>
    <row r="88" spans="1:4">
      <c r="A88" t="s">
        <v>443</v>
      </c>
      <c r="B88" t="s">
        <v>442</v>
      </c>
      <c r="C88" t="s">
        <v>393</v>
      </c>
      <c r="D88" t="s">
        <v>393</v>
      </c>
    </row>
    <row r="89" spans="1:4">
      <c r="A89" t="s">
        <v>444</v>
      </c>
      <c r="B89" t="s">
        <v>442</v>
      </c>
      <c r="C89" t="s">
        <v>393</v>
      </c>
      <c r="D89" t="s">
        <v>393</v>
      </c>
    </row>
    <row r="90" spans="1:4">
      <c r="A90" t="s">
        <v>225</v>
      </c>
      <c r="B90" t="s">
        <v>440</v>
      </c>
      <c r="C90" t="s">
        <v>393</v>
      </c>
      <c r="D90" t="s">
        <v>393</v>
      </c>
    </row>
    <row r="91" spans="1:4">
      <c r="A91" t="s">
        <v>445</v>
      </c>
      <c r="B91" t="s">
        <v>425</v>
      </c>
      <c r="C91" t="s">
        <v>393</v>
      </c>
      <c r="D91" t="s">
        <v>393</v>
      </c>
    </row>
    <row r="92" spans="1:4">
      <c r="A92" t="s">
        <v>446</v>
      </c>
      <c r="B92" t="s">
        <v>425</v>
      </c>
      <c r="C92" t="s">
        <v>393</v>
      </c>
      <c r="D92" t="s">
        <v>393</v>
      </c>
    </row>
    <row r="93" spans="1:4">
      <c r="A93" t="s">
        <v>447</v>
      </c>
      <c r="B93" t="s">
        <v>401</v>
      </c>
      <c r="C93" t="s">
        <v>393</v>
      </c>
      <c r="D93" t="s">
        <v>393</v>
      </c>
    </row>
    <row r="94" spans="1:4">
      <c r="A94" t="s">
        <v>448</v>
      </c>
      <c r="B94" t="s">
        <v>440</v>
      </c>
      <c r="C94" t="s">
        <v>393</v>
      </c>
      <c r="D94" t="s">
        <v>393</v>
      </c>
    </row>
    <row r="95" spans="1:4">
      <c r="A95" t="s">
        <v>449</v>
      </c>
      <c r="B95" t="s">
        <v>401</v>
      </c>
      <c r="C95" t="s">
        <v>393</v>
      </c>
      <c r="D95" t="s">
        <v>393</v>
      </c>
    </row>
    <row r="96" spans="1:4">
      <c r="A96" t="s">
        <v>450</v>
      </c>
      <c r="B96" t="s">
        <v>401</v>
      </c>
      <c r="C96" t="s">
        <v>393</v>
      </c>
      <c r="D96" t="s">
        <v>393</v>
      </c>
    </row>
    <row r="97" spans="1:4">
      <c r="A97" t="s">
        <v>230</v>
      </c>
      <c r="B97" t="s">
        <v>406</v>
      </c>
      <c r="C97" t="s">
        <v>407</v>
      </c>
      <c r="D97" t="s">
        <v>96</v>
      </c>
    </row>
    <row r="98" spans="1:4">
      <c r="A98" t="s">
        <v>451</v>
      </c>
      <c r="B98" t="s">
        <v>440</v>
      </c>
      <c r="C98" t="s">
        <v>393</v>
      </c>
      <c r="D98" t="s">
        <v>393</v>
      </c>
    </row>
    <row r="99" spans="1:4">
      <c r="A99" t="s">
        <v>452</v>
      </c>
      <c r="B99" t="s">
        <v>442</v>
      </c>
      <c r="C99" t="s">
        <v>393</v>
      </c>
      <c r="D99" t="s">
        <v>393</v>
      </c>
    </row>
    <row r="100" spans="1:4">
      <c r="A100" t="s">
        <v>453</v>
      </c>
      <c r="B100" t="s">
        <v>442</v>
      </c>
      <c r="C100" t="s">
        <v>393</v>
      </c>
      <c r="D100" t="s">
        <v>393</v>
      </c>
    </row>
    <row r="101" spans="1:4">
      <c r="A101" t="s">
        <v>454</v>
      </c>
      <c r="B101" t="s">
        <v>442</v>
      </c>
      <c r="C101" t="s">
        <v>393</v>
      </c>
      <c r="D101" t="s">
        <v>393</v>
      </c>
    </row>
    <row r="102" spans="1:4">
      <c r="A102" t="s">
        <v>455</v>
      </c>
      <c r="B102" t="s">
        <v>442</v>
      </c>
      <c r="C102" t="s">
        <v>393</v>
      </c>
      <c r="D102" t="s">
        <v>393</v>
      </c>
    </row>
    <row r="103" spans="1:4">
      <c r="A103" t="s">
        <v>456</v>
      </c>
      <c r="B103" t="s">
        <v>442</v>
      </c>
      <c r="C103" t="s">
        <v>393</v>
      </c>
      <c r="D103" t="s">
        <v>393</v>
      </c>
    </row>
    <row r="104" spans="1:4">
      <c r="A104" t="s">
        <v>457</v>
      </c>
      <c r="B104" t="s">
        <v>442</v>
      </c>
      <c r="C104" t="s">
        <v>393</v>
      </c>
      <c r="D104" t="s">
        <v>393</v>
      </c>
    </row>
    <row r="105" spans="1:4">
      <c r="A105" t="s">
        <v>458</v>
      </c>
      <c r="B105" t="s">
        <v>442</v>
      </c>
      <c r="C105" t="s">
        <v>393</v>
      </c>
      <c r="D105" t="s">
        <v>393</v>
      </c>
    </row>
    <row r="106" spans="1:4">
      <c r="A106" t="s">
        <v>459</v>
      </c>
      <c r="B106" t="s">
        <v>442</v>
      </c>
      <c r="C106" t="s">
        <v>393</v>
      </c>
      <c r="D106" t="s">
        <v>393</v>
      </c>
    </row>
    <row r="107" spans="1:4">
      <c r="A107" t="s">
        <v>460</v>
      </c>
      <c r="B107" t="s">
        <v>442</v>
      </c>
      <c r="C107" t="s">
        <v>393</v>
      </c>
      <c r="D107" t="s">
        <v>393</v>
      </c>
    </row>
    <row r="108" spans="1:4">
      <c r="A108" t="s">
        <v>461</v>
      </c>
      <c r="B108" t="s">
        <v>442</v>
      </c>
      <c r="C108" t="s">
        <v>393</v>
      </c>
      <c r="D108" t="s">
        <v>393</v>
      </c>
    </row>
    <row r="109" spans="1:4">
      <c r="A109" t="s">
        <v>245</v>
      </c>
      <c r="B109" t="s">
        <v>442</v>
      </c>
      <c r="C109" t="s">
        <v>393</v>
      </c>
      <c r="D109" t="s">
        <v>393</v>
      </c>
    </row>
    <row r="110" spans="1:4">
      <c r="A110" t="s">
        <v>246</v>
      </c>
      <c r="B110" t="s">
        <v>442</v>
      </c>
      <c r="C110" t="s">
        <v>393</v>
      </c>
      <c r="D110" t="s">
        <v>393</v>
      </c>
    </row>
    <row r="111" spans="1:4">
      <c r="A111" t="s">
        <v>247</v>
      </c>
      <c r="B111" t="s">
        <v>401</v>
      </c>
      <c r="C111" t="s">
        <v>393</v>
      </c>
      <c r="D111" t="s">
        <v>393</v>
      </c>
    </row>
    <row r="112" spans="1:4">
      <c r="A112" t="s">
        <v>462</v>
      </c>
      <c r="B112" t="s">
        <v>463</v>
      </c>
      <c r="C112" t="s">
        <v>92</v>
      </c>
      <c r="D112" t="s">
        <v>393</v>
      </c>
    </row>
    <row r="113" spans="1:4">
      <c r="A113" t="s">
        <v>464</v>
      </c>
      <c r="B113" t="s">
        <v>425</v>
      </c>
      <c r="C113" t="s">
        <v>393</v>
      </c>
      <c r="D113" t="s">
        <v>393</v>
      </c>
    </row>
    <row r="114" spans="1:4">
      <c r="A114" t="s">
        <v>465</v>
      </c>
      <c r="B114" t="s">
        <v>466</v>
      </c>
      <c r="C114" t="s">
        <v>92</v>
      </c>
      <c r="D114" t="s">
        <v>393</v>
      </c>
    </row>
    <row r="115" spans="1:4">
      <c r="A115" t="s">
        <v>467</v>
      </c>
      <c r="B115" t="s">
        <v>401</v>
      </c>
      <c r="C115" t="s">
        <v>393</v>
      </c>
      <c r="D115" t="s">
        <v>393</v>
      </c>
    </row>
    <row r="116" spans="1:4">
      <c r="A116" t="s">
        <v>468</v>
      </c>
      <c r="B116" t="s">
        <v>401</v>
      </c>
      <c r="C116" t="s">
        <v>393</v>
      </c>
      <c r="D116" t="s">
        <v>393</v>
      </c>
    </row>
    <row r="117" spans="1:4">
      <c r="A117" t="s">
        <v>469</v>
      </c>
      <c r="B117" t="s">
        <v>425</v>
      </c>
      <c r="C117" t="s">
        <v>393</v>
      </c>
      <c r="D117" t="s">
        <v>393</v>
      </c>
    </row>
    <row r="118" spans="1:4">
      <c r="A118" t="s">
        <v>470</v>
      </c>
      <c r="B118" t="s">
        <v>425</v>
      </c>
      <c r="C118" t="s">
        <v>393</v>
      </c>
      <c r="D118" t="s">
        <v>393</v>
      </c>
    </row>
    <row r="119" spans="1:4">
      <c r="A119" t="s">
        <v>471</v>
      </c>
      <c r="B119" t="s">
        <v>472</v>
      </c>
      <c r="C119" t="s">
        <v>393</v>
      </c>
      <c r="D119" t="s">
        <v>393</v>
      </c>
    </row>
    <row r="120" spans="1:4">
      <c r="A120" t="s">
        <v>473</v>
      </c>
      <c r="B120" t="s">
        <v>472</v>
      </c>
      <c r="C120" t="s">
        <v>393</v>
      </c>
      <c r="D120" t="s">
        <v>393</v>
      </c>
    </row>
    <row r="121" spans="1:4">
      <c r="A121" t="s">
        <v>474</v>
      </c>
      <c r="B121" t="s">
        <v>399</v>
      </c>
      <c r="C121" t="s">
        <v>393</v>
      </c>
      <c r="D121" t="s">
        <v>393</v>
      </c>
    </row>
    <row r="122" spans="1:4">
      <c r="A122" t="s">
        <v>475</v>
      </c>
      <c r="B122" t="s">
        <v>463</v>
      </c>
      <c r="C122" t="s">
        <v>92</v>
      </c>
      <c r="D122" t="s">
        <v>393</v>
      </c>
    </row>
    <row r="123" spans="1:4">
      <c r="A123" t="s">
        <v>476</v>
      </c>
      <c r="B123" t="s">
        <v>401</v>
      </c>
      <c r="C123" t="s">
        <v>393</v>
      </c>
      <c r="D123" t="s">
        <v>393</v>
      </c>
    </row>
    <row r="124" spans="1:4">
      <c r="A124">
        <v>2313039</v>
      </c>
      <c r="B124" t="s">
        <v>442</v>
      </c>
      <c r="C124" t="s">
        <v>393</v>
      </c>
      <c r="D124" t="s">
        <v>393</v>
      </c>
    </row>
    <row r="125" spans="1:4">
      <c r="A125" t="s">
        <v>477</v>
      </c>
      <c r="B125" t="s">
        <v>425</v>
      </c>
      <c r="C125" t="s">
        <v>393</v>
      </c>
      <c r="D125" t="s">
        <v>393</v>
      </c>
    </row>
    <row r="126" spans="1:4">
      <c r="A126" t="s">
        <v>478</v>
      </c>
      <c r="B126" t="s">
        <v>425</v>
      </c>
      <c r="C126" t="s">
        <v>393</v>
      </c>
      <c r="D126" t="s">
        <v>393</v>
      </c>
    </row>
    <row r="127" spans="1:4">
      <c r="A127" t="s">
        <v>479</v>
      </c>
      <c r="B127" t="s">
        <v>425</v>
      </c>
      <c r="C127" t="s">
        <v>393</v>
      </c>
      <c r="D127" t="s">
        <v>393</v>
      </c>
    </row>
    <row r="128" spans="1:4">
      <c r="A128" t="s">
        <v>480</v>
      </c>
      <c r="B128" t="s">
        <v>472</v>
      </c>
      <c r="C128" t="s">
        <v>393</v>
      </c>
      <c r="D128" t="s">
        <v>393</v>
      </c>
    </row>
    <row r="129" spans="1:4">
      <c r="A129" t="s">
        <v>481</v>
      </c>
      <c r="B129" t="s">
        <v>472</v>
      </c>
      <c r="C129" t="s">
        <v>393</v>
      </c>
      <c r="D129" t="s">
        <v>393</v>
      </c>
    </row>
    <row r="130" spans="1:4">
      <c r="A130" t="s">
        <v>482</v>
      </c>
      <c r="B130" t="s">
        <v>399</v>
      </c>
      <c r="C130" t="s">
        <v>393</v>
      </c>
      <c r="D130" t="s">
        <v>393</v>
      </c>
    </row>
    <row r="131" spans="1:4">
      <c r="A131" t="s">
        <v>483</v>
      </c>
      <c r="B131" t="s">
        <v>472</v>
      </c>
      <c r="C131" t="s">
        <v>393</v>
      </c>
      <c r="D131" t="s">
        <v>393</v>
      </c>
    </row>
    <row r="132" spans="1:4">
      <c r="A132" t="s">
        <v>484</v>
      </c>
      <c r="B132" t="s">
        <v>401</v>
      </c>
      <c r="C132" t="s">
        <v>393</v>
      </c>
      <c r="D132" t="s">
        <v>393</v>
      </c>
    </row>
    <row r="133" spans="1:4">
      <c r="A133" t="s">
        <v>485</v>
      </c>
      <c r="B133" t="s">
        <v>472</v>
      </c>
      <c r="C133" t="s">
        <v>393</v>
      </c>
      <c r="D133" t="s">
        <v>393</v>
      </c>
    </row>
    <row r="134" spans="1:4">
      <c r="A134" t="s">
        <v>486</v>
      </c>
      <c r="B134" t="s">
        <v>440</v>
      </c>
      <c r="C134" t="s">
        <v>393</v>
      </c>
      <c r="D134" t="s">
        <v>393</v>
      </c>
    </row>
    <row r="135" spans="1:4">
      <c r="A135" t="s">
        <v>487</v>
      </c>
      <c r="B135" t="s">
        <v>466</v>
      </c>
      <c r="C135" t="s">
        <v>92</v>
      </c>
      <c r="D135" t="s">
        <v>393</v>
      </c>
    </row>
    <row r="136" spans="1:4">
      <c r="A136" t="s">
        <v>488</v>
      </c>
      <c r="B136" t="s">
        <v>425</v>
      </c>
      <c r="C136" t="s">
        <v>393</v>
      </c>
      <c r="D136" t="s">
        <v>393</v>
      </c>
    </row>
    <row r="137" spans="1:4">
      <c r="A137" t="s">
        <v>489</v>
      </c>
      <c r="B137" t="s">
        <v>425</v>
      </c>
      <c r="C137" t="s">
        <v>393</v>
      </c>
      <c r="D137" t="s">
        <v>393</v>
      </c>
    </row>
    <row r="138" spans="1:4">
      <c r="A138" t="s">
        <v>490</v>
      </c>
      <c r="B138" t="s">
        <v>491</v>
      </c>
      <c r="C138" t="s">
        <v>393</v>
      </c>
      <c r="D138" t="s">
        <v>393</v>
      </c>
    </row>
    <row r="139" spans="1:4">
      <c r="A139" t="s">
        <v>492</v>
      </c>
      <c r="B139" t="s">
        <v>491</v>
      </c>
      <c r="C139" t="s">
        <v>393</v>
      </c>
      <c r="D139" t="s">
        <v>393</v>
      </c>
    </row>
    <row r="140" spans="1:4">
      <c r="A140" t="s">
        <v>493</v>
      </c>
      <c r="B140" t="s">
        <v>401</v>
      </c>
      <c r="C140" t="s">
        <v>393</v>
      </c>
      <c r="D140" t="s">
        <v>393</v>
      </c>
    </row>
    <row r="141" spans="1:4">
      <c r="A141" t="s">
        <v>494</v>
      </c>
      <c r="B141" t="s">
        <v>440</v>
      </c>
      <c r="C141" t="s">
        <v>393</v>
      </c>
      <c r="D141" t="s">
        <v>393</v>
      </c>
    </row>
    <row r="142" spans="1:4">
      <c r="A142" t="s">
        <v>495</v>
      </c>
      <c r="B142" t="s">
        <v>425</v>
      </c>
      <c r="C142" t="s">
        <v>393</v>
      </c>
      <c r="D142" t="s">
        <v>393</v>
      </c>
    </row>
    <row r="143" spans="1:4">
      <c r="A143" t="s">
        <v>496</v>
      </c>
      <c r="B143" t="s">
        <v>381</v>
      </c>
      <c r="C143" t="s">
        <v>370</v>
      </c>
      <c r="D143" t="s">
        <v>91</v>
      </c>
    </row>
    <row r="144" spans="1:4">
      <c r="A144" t="s">
        <v>497</v>
      </c>
      <c r="B144" t="s">
        <v>373</v>
      </c>
      <c r="C144" t="s">
        <v>370</v>
      </c>
      <c r="D144" t="s">
        <v>91</v>
      </c>
    </row>
    <row r="145" spans="1:4">
      <c r="A145" t="s">
        <v>498</v>
      </c>
      <c r="B145" t="s">
        <v>373</v>
      </c>
      <c r="C145" t="s">
        <v>370</v>
      </c>
      <c r="D145" t="s">
        <v>91</v>
      </c>
    </row>
    <row r="146" spans="1:4">
      <c r="A146" t="s">
        <v>499</v>
      </c>
      <c r="B146" t="s">
        <v>440</v>
      </c>
      <c r="C146" t="s">
        <v>393</v>
      </c>
      <c r="D146" t="s">
        <v>393</v>
      </c>
    </row>
    <row r="147" spans="1:4">
      <c r="A147" t="s">
        <v>500</v>
      </c>
      <c r="B147" t="s">
        <v>440</v>
      </c>
      <c r="C147" t="s">
        <v>393</v>
      </c>
      <c r="D147" t="s">
        <v>393</v>
      </c>
    </row>
    <row r="148" spans="1:4">
      <c r="A148" t="s">
        <v>501</v>
      </c>
      <c r="B148" t="s">
        <v>401</v>
      </c>
      <c r="C148" t="s">
        <v>393</v>
      </c>
      <c r="D148" t="s">
        <v>393</v>
      </c>
    </row>
    <row r="149" spans="1:4">
      <c r="A149" t="s">
        <v>502</v>
      </c>
      <c r="B149" t="s">
        <v>503</v>
      </c>
      <c r="C149" t="s">
        <v>92</v>
      </c>
      <c r="D149" t="s">
        <v>393</v>
      </c>
    </row>
    <row r="150" spans="1:4">
      <c r="A150" t="s">
        <v>30</v>
      </c>
      <c r="B150" t="s">
        <v>504</v>
      </c>
      <c r="C150" t="s">
        <v>407</v>
      </c>
      <c r="D150" t="s">
        <v>96</v>
      </c>
    </row>
    <row r="151" spans="1:4">
      <c r="A151" t="s">
        <v>505</v>
      </c>
      <c r="B151" t="s">
        <v>491</v>
      </c>
      <c r="C151" t="s">
        <v>393</v>
      </c>
      <c r="D151" t="s">
        <v>393</v>
      </c>
    </row>
    <row r="152" spans="1:4">
      <c r="A152" t="s">
        <v>506</v>
      </c>
      <c r="B152" t="s">
        <v>491</v>
      </c>
      <c r="C152" t="s">
        <v>393</v>
      </c>
      <c r="D152" t="s">
        <v>393</v>
      </c>
    </row>
    <row r="153" spans="1:4">
      <c r="A153" t="s">
        <v>507</v>
      </c>
      <c r="B153" t="s">
        <v>401</v>
      </c>
      <c r="C153" t="s">
        <v>393</v>
      </c>
      <c r="D153" t="s">
        <v>393</v>
      </c>
    </row>
    <row r="154" spans="1:4">
      <c r="A154" t="s">
        <v>508</v>
      </c>
      <c r="B154" t="s">
        <v>491</v>
      </c>
      <c r="C154" t="s">
        <v>393</v>
      </c>
      <c r="D154" t="s">
        <v>393</v>
      </c>
    </row>
    <row r="155" spans="1:4">
      <c r="A155" t="s">
        <v>509</v>
      </c>
      <c r="B155" t="s">
        <v>491</v>
      </c>
      <c r="C155" t="s">
        <v>393</v>
      </c>
      <c r="D155" t="s">
        <v>393</v>
      </c>
    </row>
    <row r="156" spans="1:4">
      <c r="A156" t="s">
        <v>510</v>
      </c>
      <c r="B156" t="s">
        <v>491</v>
      </c>
      <c r="C156" t="s">
        <v>393</v>
      </c>
      <c r="D156" t="s">
        <v>393</v>
      </c>
    </row>
    <row r="157" spans="1:4">
      <c r="A157" t="s">
        <v>32</v>
      </c>
      <c r="B157" t="s">
        <v>504</v>
      </c>
      <c r="C157" t="s">
        <v>407</v>
      </c>
      <c r="D157" t="s">
        <v>96</v>
      </c>
    </row>
    <row r="158" spans="1:4">
      <c r="A158" t="s">
        <v>511</v>
      </c>
      <c r="B158" t="s">
        <v>401</v>
      </c>
      <c r="C158" t="s">
        <v>393</v>
      </c>
      <c r="D158" t="s">
        <v>393</v>
      </c>
    </row>
    <row r="159" spans="1:4">
      <c r="A159" t="s">
        <v>33</v>
      </c>
      <c r="B159" t="s">
        <v>504</v>
      </c>
      <c r="C159" t="s">
        <v>407</v>
      </c>
      <c r="D159" t="s">
        <v>96</v>
      </c>
    </row>
    <row r="160" spans="1:4">
      <c r="A160" t="s">
        <v>512</v>
      </c>
      <c r="B160" t="s">
        <v>466</v>
      </c>
      <c r="C160" t="s">
        <v>92</v>
      </c>
      <c r="D160" t="s">
        <v>393</v>
      </c>
    </row>
    <row r="161" spans="1:4">
      <c r="A161">
        <v>60303921128</v>
      </c>
      <c r="B161" t="s">
        <v>491</v>
      </c>
      <c r="C161" t="s">
        <v>393</v>
      </c>
      <c r="D161" t="s">
        <v>393</v>
      </c>
    </row>
    <row r="162" spans="1:4">
      <c r="A162">
        <v>60303921071</v>
      </c>
      <c r="B162" t="s">
        <v>491</v>
      </c>
      <c r="C162" t="s">
        <v>393</v>
      </c>
      <c r="D162" t="s">
        <v>393</v>
      </c>
    </row>
    <row r="163" spans="1:4">
      <c r="A163" t="s">
        <v>37</v>
      </c>
      <c r="B163" t="s">
        <v>513</v>
      </c>
      <c r="C163" t="s">
        <v>430</v>
      </c>
      <c r="D163" t="s">
        <v>96</v>
      </c>
    </row>
    <row r="164" spans="1:4">
      <c r="A164" t="s">
        <v>514</v>
      </c>
      <c r="B164" t="s">
        <v>515</v>
      </c>
      <c r="C164" t="s">
        <v>92</v>
      </c>
      <c r="D164" t="s">
        <v>393</v>
      </c>
    </row>
    <row r="165" spans="1:4">
      <c r="A165" t="s">
        <v>516</v>
      </c>
      <c r="B165" t="s">
        <v>515</v>
      </c>
      <c r="C165" t="s">
        <v>92</v>
      </c>
      <c r="D165" t="s">
        <v>393</v>
      </c>
    </row>
    <row r="166" spans="1:4">
      <c r="A166" t="s">
        <v>517</v>
      </c>
      <c r="B166" t="s">
        <v>491</v>
      </c>
      <c r="C166" t="s">
        <v>393</v>
      </c>
      <c r="D166" t="s">
        <v>393</v>
      </c>
    </row>
    <row r="167" spans="1:4">
      <c r="A167" t="s">
        <v>518</v>
      </c>
      <c r="B167" t="s">
        <v>491</v>
      </c>
      <c r="C167" t="s">
        <v>393</v>
      </c>
      <c r="D167" t="s">
        <v>393</v>
      </c>
    </row>
    <row r="168" spans="1:4">
      <c r="A168" t="s">
        <v>519</v>
      </c>
      <c r="B168" t="s">
        <v>401</v>
      </c>
      <c r="C168" t="s">
        <v>393</v>
      </c>
      <c r="D168" t="s">
        <v>393</v>
      </c>
    </row>
    <row r="169" spans="1:4">
      <c r="A169" t="s">
        <v>34</v>
      </c>
      <c r="B169" t="s">
        <v>520</v>
      </c>
      <c r="C169" t="s">
        <v>407</v>
      </c>
      <c r="D169" t="s">
        <v>96</v>
      </c>
    </row>
    <row r="170" spans="1:4">
      <c r="A170" t="s">
        <v>36</v>
      </c>
      <c r="B170" t="s">
        <v>521</v>
      </c>
      <c r="C170" t="s">
        <v>407</v>
      </c>
      <c r="D170" t="s">
        <v>96</v>
      </c>
    </row>
    <row r="171" spans="1:4">
      <c r="A171" t="s">
        <v>300</v>
      </c>
      <c r="B171" t="s">
        <v>522</v>
      </c>
      <c r="C171" t="s">
        <v>393</v>
      </c>
      <c r="D171" t="s">
        <v>393</v>
      </c>
    </row>
    <row r="172" spans="1:4">
      <c r="A172" t="s">
        <v>301</v>
      </c>
      <c r="B172" t="s">
        <v>522</v>
      </c>
      <c r="C172" t="s">
        <v>393</v>
      </c>
      <c r="D172" t="s">
        <v>393</v>
      </c>
    </row>
    <row r="173" spans="1:4">
      <c r="A173" t="s">
        <v>302</v>
      </c>
      <c r="B173" t="s">
        <v>522</v>
      </c>
      <c r="C173" t="s">
        <v>393</v>
      </c>
      <c r="D173" t="s">
        <v>393</v>
      </c>
    </row>
    <row r="174" spans="1:4">
      <c r="A174" t="s">
        <v>523</v>
      </c>
      <c r="B174" t="s">
        <v>401</v>
      </c>
      <c r="C174" t="s">
        <v>393</v>
      </c>
      <c r="D174" t="s">
        <v>393</v>
      </c>
    </row>
    <row r="175" spans="1:4">
      <c r="A175" t="s">
        <v>35</v>
      </c>
      <c r="B175" t="s">
        <v>520</v>
      </c>
      <c r="C175" t="s">
        <v>407</v>
      </c>
      <c r="D175" t="s">
        <v>96</v>
      </c>
    </row>
    <row r="176" spans="1:4">
      <c r="A176" t="s">
        <v>303</v>
      </c>
      <c r="B176" t="s">
        <v>522</v>
      </c>
      <c r="C176" t="s">
        <v>393</v>
      </c>
      <c r="D176" t="s">
        <v>393</v>
      </c>
    </row>
    <row r="177" spans="1:4">
      <c r="A177" t="s">
        <v>304</v>
      </c>
      <c r="B177" t="s">
        <v>440</v>
      </c>
      <c r="C177" t="s">
        <v>393</v>
      </c>
      <c r="D177" t="s">
        <v>393</v>
      </c>
    </row>
    <row r="178" spans="1:4">
      <c r="A178" t="s">
        <v>305</v>
      </c>
      <c r="B178" t="s">
        <v>440</v>
      </c>
      <c r="C178" t="s">
        <v>393</v>
      </c>
      <c r="D178" t="s">
        <v>393</v>
      </c>
    </row>
    <row r="179" spans="1:4">
      <c r="A179" t="s">
        <v>306</v>
      </c>
      <c r="B179" t="s">
        <v>440</v>
      </c>
      <c r="C179" t="s">
        <v>393</v>
      </c>
      <c r="D179" t="s">
        <v>393</v>
      </c>
    </row>
    <row r="180" spans="1:4">
      <c r="A180" t="s">
        <v>307</v>
      </c>
      <c r="B180" t="s">
        <v>440</v>
      </c>
      <c r="C180" t="s">
        <v>393</v>
      </c>
      <c r="D180" t="s">
        <v>393</v>
      </c>
    </row>
    <row r="181" spans="1:4">
      <c r="A181" t="s">
        <v>308</v>
      </c>
      <c r="B181" t="s">
        <v>440</v>
      </c>
      <c r="C181" t="s">
        <v>393</v>
      </c>
      <c r="D181" t="s">
        <v>393</v>
      </c>
    </row>
    <row r="182" spans="1:4">
      <c r="A182" t="s">
        <v>524</v>
      </c>
      <c r="B182" t="s">
        <v>525</v>
      </c>
      <c r="C182" t="s">
        <v>92</v>
      </c>
      <c r="D182" t="s">
        <v>393</v>
      </c>
    </row>
    <row r="183" spans="1:4">
      <c r="A183" t="s">
        <v>93</v>
      </c>
      <c r="B183" t="s">
        <v>526</v>
      </c>
      <c r="C183" t="s">
        <v>407</v>
      </c>
      <c r="D183" t="s">
        <v>96</v>
      </c>
    </row>
    <row r="184" spans="1:4">
      <c r="A184" t="s">
        <v>38</v>
      </c>
      <c r="B184" t="s">
        <v>526</v>
      </c>
      <c r="C184" t="s">
        <v>407</v>
      </c>
      <c r="D184" t="s">
        <v>96</v>
      </c>
    </row>
    <row r="185" spans="1:4">
      <c r="A185" t="s">
        <v>311</v>
      </c>
      <c r="B185" t="s">
        <v>526</v>
      </c>
      <c r="C185" t="s">
        <v>407</v>
      </c>
      <c r="D185" t="s">
        <v>96</v>
      </c>
    </row>
    <row r="186" spans="1:4">
      <c r="A186" t="s">
        <v>527</v>
      </c>
      <c r="B186" t="s">
        <v>515</v>
      </c>
      <c r="C186" t="s">
        <v>92</v>
      </c>
      <c r="D186" t="s">
        <v>393</v>
      </c>
    </row>
    <row r="187" spans="1:4">
      <c r="A187" t="s">
        <v>528</v>
      </c>
      <c r="B187" t="s">
        <v>515</v>
      </c>
      <c r="C187" t="s">
        <v>92</v>
      </c>
      <c r="D187" t="s">
        <v>393</v>
      </c>
    </row>
    <row r="188" spans="1:4">
      <c r="A188" t="s">
        <v>97</v>
      </c>
      <c r="B188" t="s">
        <v>526</v>
      </c>
      <c r="C188" t="s">
        <v>407</v>
      </c>
      <c r="D188" t="s">
        <v>96</v>
      </c>
    </row>
    <row r="189" spans="1:4">
      <c r="A189" t="s">
        <v>313</v>
      </c>
      <c r="B189" t="s">
        <v>371</v>
      </c>
      <c r="C189" t="s">
        <v>372</v>
      </c>
      <c r="D189" t="s">
        <v>91</v>
      </c>
    </row>
    <row r="190" spans="1:4">
      <c r="A190" t="s">
        <v>314</v>
      </c>
      <c r="B190" t="s">
        <v>371</v>
      </c>
      <c r="C190" t="s">
        <v>372</v>
      </c>
      <c r="D190" t="s">
        <v>91</v>
      </c>
    </row>
    <row r="191" spans="1:4">
      <c r="A191" t="s">
        <v>315</v>
      </c>
      <c r="B191" t="s">
        <v>371</v>
      </c>
      <c r="C191" t="s">
        <v>372</v>
      </c>
      <c r="D191" t="s">
        <v>91</v>
      </c>
    </row>
    <row r="192" spans="1:4">
      <c r="A192" t="s">
        <v>317</v>
      </c>
      <c r="B192" t="s">
        <v>529</v>
      </c>
      <c r="C192" t="s">
        <v>372</v>
      </c>
      <c r="D192" t="s">
        <v>86</v>
      </c>
    </row>
    <row r="193" spans="1:4">
      <c r="A193" t="s">
        <v>530</v>
      </c>
      <c r="B193" t="s">
        <v>401</v>
      </c>
      <c r="C193" t="s">
        <v>393</v>
      </c>
      <c r="D193" t="s">
        <v>393</v>
      </c>
    </row>
    <row r="194" spans="1:4">
      <c r="A194" t="s">
        <v>39</v>
      </c>
      <c r="B194" t="s">
        <v>526</v>
      </c>
      <c r="C194" t="s">
        <v>407</v>
      </c>
      <c r="D194" t="s">
        <v>96</v>
      </c>
    </row>
    <row r="195" spans="1:4">
      <c r="A195" t="s">
        <v>531</v>
      </c>
      <c r="B195" t="s">
        <v>515</v>
      </c>
      <c r="C195" t="s">
        <v>92</v>
      </c>
      <c r="D195" t="s">
        <v>393</v>
      </c>
    </row>
    <row r="196" spans="1:4">
      <c r="A196" t="s">
        <v>532</v>
      </c>
      <c r="B196" t="s">
        <v>515</v>
      </c>
      <c r="C196" t="s">
        <v>92</v>
      </c>
      <c r="D196" t="s">
        <v>393</v>
      </c>
    </row>
    <row r="197" spans="1:4">
      <c r="A197" t="s">
        <v>533</v>
      </c>
      <c r="B197" t="s">
        <v>401</v>
      </c>
      <c r="C197" t="s">
        <v>393</v>
      </c>
      <c r="D197" t="s">
        <v>393</v>
      </c>
    </row>
    <row r="198" spans="1:4">
      <c r="A198" t="s">
        <v>534</v>
      </c>
      <c r="B198" t="s">
        <v>401</v>
      </c>
      <c r="C198" t="s">
        <v>393</v>
      </c>
      <c r="D198" t="s">
        <v>393</v>
      </c>
    </row>
    <row r="199" spans="1:4">
      <c r="A199" t="s">
        <v>535</v>
      </c>
      <c r="B199" t="s">
        <v>526</v>
      </c>
      <c r="C199" t="s">
        <v>407</v>
      </c>
      <c r="D199" t="s">
        <v>96</v>
      </c>
    </row>
    <row r="200" spans="1:4">
      <c r="A200" t="s">
        <v>536</v>
      </c>
      <c r="B200" t="s">
        <v>526</v>
      </c>
      <c r="C200" t="s">
        <v>407</v>
      </c>
      <c r="D200" t="s">
        <v>96</v>
      </c>
    </row>
    <row r="201" spans="1:4">
      <c r="A201" t="s">
        <v>537</v>
      </c>
      <c r="B201" t="s">
        <v>401</v>
      </c>
      <c r="C201" t="s">
        <v>393</v>
      </c>
      <c r="D201" t="s">
        <v>393</v>
      </c>
    </row>
    <row r="202" spans="1:4">
      <c r="A202" t="s">
        <v>538</v>
      </c>
      <c r="B202" t="s">
        <v>401</v>
      </c>
      <c r="C202" t="s">
        <v>393</v>
      </c>
      <c r="D202" t="s">
        <v>393</v>
      </c>
    </row>
    <row r="203" spans="1:4">
      <c r="A203" t="s">
        <v>539</v>
      </c>
      <c r="B203" t="s">
        <v>401</v>
      </c>
      <c r="C203" t="s">
        <v>393</v>
      </c>
      <c r="D203" t="s">
        <v>393</v>
      </c>
    </row>
    <row r="204" spans="1:4">
      <c r="A204" t="s">
        <v>540</v>
      </c>
      <c r="B204" t="s">
        <v>401</v>
      </c>
      <c r="C204" t="s">
        <v>393</v>
      </c>
      <c r="D204" t="s">
        <v>393</v>
      </c>
    </row>
    <row r="205" spans="1:4">
      <c r="A205" t="s">
        <v>541</v>
      </c>
      <c r="B205" t="s">
        <v>401</v>
      </c>
      <c r="C205" t="s">
        <v>393</v>
      </c>
      <c r="D205" t="s">
        <v>393</v>
      </c>
    </row>
    <row r="206" spans="1:4">
      <c r="A206" t="s">
        <v>542</v>
      </c>
      <c r="B206" t="s">
        <v>401</v>
      </c>
      <c r="C206" t="s">
        <v>393</v>
      </c>
      <c r="D206" t="s">
        <v>393</v>
      </c>
    </row>
    <row r="207" spans="1:4">
      <c r="A207" t="s">
        <v>543</v>
      </c>
      <c r="B207" t="s">
        <v>401</v>
      </c>
      <c r="C207" t="s">
        <v>393</v>
      </c>
      <c r="D207" t="s">
        <v>393</v>
      </c>
    </row>
    <row r="208" spans="1:4">
      <c r="A208" t="s">
        <v>544</v>
      </c>
      <c r="B208" t="s">
        <v>401</v>
      </c>
      <c r="C208" t="s">
        <v>393</v>
      </c>
      <c r="D208" t="s">
        <v>393</v>
      </c>
    </row>
    <row r="209" spans="1:4">
      <c r="A209" t="s">
        <v>328</v>
      </c>
      <c r="B209" t="s">
        <v>401</v>
      </c>
      <c r="C209" t="s">
        <v>393</v>
      </c>
      <c r="D209" t="s">
        <v>393</v>
      </c>
    </row>
    <row r="210" spans="1:4">
      <c r="A210" t="s">
        <v>329</v>
      </c>
      <c r="B210" t="s">
        <v>401</v>
      </c>
      <c r="C210" t="s">
        <v>393</v>
      </c>
      <c r="D210" t="s">
        <v>393</v>
      </c>
    </row>
    <row r="211" spans="1:4">
      <c r="A211" t="s">
        <v>330</v>
      </c>
      <c r="B211" t="s">
        <v>491</v>
      </c>
      <c r="C211" t="s">
        <v>393</v>
      </c>
      <c r="D211" t="s">
        <v>393</v>
      </c>
    </row>
    <row r="212" spans="1:4">
      <c r="A212" t="s">
        <v>545</v>
      </c>
      <c r="B212" t="s">
        <v>546</v>
      </c>
      <c r="C212" t="s">
        <v>372</v>
      </c>
      <c r="D212" t="s">
        <v>86</v>
      </c>
    </row>
    <row r="213" spans="1:4">
      <c r="A213" t="s">
        <v>547</v>
      </c>
      <c r="B213" t="s">
        <v>440</v>
      </c>
      <c r="C213" t="s">
        <v>393</v>
      </c>
      <c r="D213" t="s">
        <v>393</v>
      </c>
    </row>
    <row r="214" spans="1:4">
      <c r="A214" t="s">
        <v>548</v>
      </c>
      <c r="B214" t="s">
        <v>549</v>
      </c>
      <c r="C214" t="s">
        <v>550</v>
      </c>
      <c r="D214" t="s">
        <v>550</v>
      </c>
    </row>
    <row r="215" spans="1:4">
      <c r="A215" t="s">
        <v>551</v>
      </c>
      <c r="B215" t="s">
        <v>552</v>
      </c>
      <c r="C215" t="s">
        <v>550</v>
      </c>
      <c r="D215" t="s">
        <v>550</v>
      </c>
    </row>
    <row r="216" spans="1:4">
      <c r="A216" t="s">
        <v>553</v>
      </c>
      <c r="B216" t="s">
        <v>554</v>
      </c>
      <c r="C216" t="s">
        <v>550</v>
      </c>
      <c r="D216" t="s">
        <v>550</v>
      </c>
    </row>
    <row r="217" spans="1:4">
      <c r="A217" t="s">
        <v>555</v>
      </c>
      <c r="B217" t="s">
        <v>556</v>
      </c>
      <c r="C217" t="s">
        <v>550</v>
      </c>
      <c r="D217" t="s">
        <v>550</v>
      </c>
    </row>
    <row r="218" spans="1:4">
      <c r="A218" t="s">
        <v>557</v>
      </c>
      <c r="B218" t="s">
        <v>558</v>
      </c>
      <c r="C218" t="s">
        <v>550</v>
      </c>
      <c r="D218" t="s">
        <v>550</v>
      </c>
    </row>
    <row r="219" spans="1:4">
      <c r="A219" t="s">
        <v>24</v>
      </c>
      <c r="B219" t="s">
        <v>559</v>
      </c>
      <c r="C219" t="s">
        <v>372</v>
      </c>
      <c r="D219" t="s">
        <v>91</v>
      </c>
    </row>
    <row r="220" spans="1:4">
      <c r="A220" t="s">
        <v>24</v>
      </c>
      <c r="B220" t="s">
        <v>380</v>
      </c>
      <c r="C220">
        <v>0</v>
      </c>
      <c r="D220">
        <v>0</v>
      </c>
    </row>
    <row r="221" spans="1:4">
      <c r="A221" t="s">
        <v>560</v>
      </c>
      <c r="B221" t="s">
        <v>561</v>
      </c>
      <c r="C221" t="s">
        <v>393</v>
      </c>
      <c r="D221" t="s">
        <v>393</v>
      </c>
    </row>
    <row r="222" spans="1:4">
      <c r="A222" t="s">
        <v>562</v>
      </c>
      <c r="B222" t="s">
        <v>561</v>
      </c>
      <c r="C222" t="s">
        <v>393</v>
      </c>
      <c r="D222" t="s">
        <v>393</v>
      </c>
    </row>
    <row r="223" spans="1:4">
      <c r="A223" t="s">
        <v>563</v>
      </c>
      <c r="B223" t="s">
        <v>440</v>
      </c>
      <c r="C223" t="s">
        <v>393</v>
      </c>
      <c r="D223" t="s">
        <v>393</v>
      </c>
    </row>
    <row r="224" spans="1:4">
      <c r="A224" t="s">
        <v>564</v>
      </c>
      <c r="B224" t="s">
        <v>565</v>
      </c>
      <c r="C224" t="s">
        <v>407</v>
      </c>
      <c r="D224" t="s">
        <v>96</v>
      </c>
    </row>
    <row r="225" spans="1:4">
      <c r="A225" t="s">
        <v>88</v>
      </c>
      <c r="B225" t="s">
        <v>566</v>
      </c>
      <c r="C225" t="s">
        <v>370</v>
      </c>
      <c r="D225" t="s">
        <v>91</v>
      </c>
    </row>
    <row r="226" spans="1:4">
      <c r="A226" t="s">
        <v>567</v>
      </c>
      <c r="B226" t="s">
        <v>568</v>
      </c>
      <c r="C226" t="s">
        <v>569</v>
      </c>
      <c r="D226" t="s">
        <v>550</v>
      </c>
    </row>
    <row r="227" spans="1:4">
      <c r="A227" t="s">
        <v>570</v>
      </c>
      <c r="B227" t="s">
        <v>571</v>
      </c>
      <c r="C227" t="s">
        <v>569</v>
      </c>
      <c r="D227" t="s">
        <v>550</v>
      </c>
    </row>
    <row r="228" spans="1:4">
      <c r="A228" t="s">
        <v>572</v>
      </c>
      <c r="B228" t="s">
        <v>573</v>
      </c>
      <c r="C228" t="s">
        <v>569</v>
      </c>
      <c r="D228" t="s">
        <v>550</v>
      </c>
    </row>
    <row r="229" spans="1:4">
      <c r="A229" t="s">
        <v>574</v>
      </c>
      <c r="B229" t="s">
        <v>575</v>
      </c>
      <c r="C229" t="s">
        <v>569</v>
      </c>
      <c r="D229" t="s">
        <v>550</v>
      </c>
    </row>
    <row r="230" spans="1:4">
      <c r="A230" t="s">
        <v>576</v>
      </c>
      <c r="B230" t="s">
        <v>577</v>
      </c>
      <c r="C230" t="s">
        <v>550</v>
      </c>
      <c r="D230" t="s">
        <v>550</v>
      </c>
    </row>
    <row r="231" spans="1:4">
      <c r="A231" t="s">
        <v>578</v>
      </c>
      <c r="B231" t="s">
        <v>579</v>
      </c>
      <c r="C231" t="s">
        <v>550</v>
      </c>
      <c r="D231" t="s">
        <v>550</v>
      </c>
    </row>
    <row r="232" spans="1:4">
      <c r="A232" t="s">
        <v>580</v>
      </c>
      <c r="B232" t="s">
        <v>581</v>
      </c>
      <c r="C232" t="s">
        <v>550</v>
      </c>
      <c r="D232" t="s">
        <v>550</v>
      </c>
    </row>
    <row r="233" spans="1:4">
      <c r="A233" t="s">
        <v>345</v>
      </c>
      <c r="B233" t="s">
        <v>401</v>
      </c>
      <c r="C233" t="s">
        <v>393</v>
      </c>
      <c r="D233" t="s">
        <v>393</v>
      </c>
    </row>
    <row r="234" spans="1:4">
      <c r="A234" t="s">
        <v>346</v>
      </c>
      <c r="B234" t="s">
        <v>401</v>
      </c>
      <c r="C234" t="s">
        <v>393</v>
      </c>
      <c r="D234" t="s">
        <v>393</v>
      </c>
    </row>
    <row r="235" spans="1:4">
      <c r="A235" t="s">
        <v>347</v>
      </c>
      <c r="B235" t="s">
        <v>401</v>
      </c>
      <c r="C235" t="s">
        <v>393</v>
      </c>
      <c r="D235" t="s">
        <v>393</v>
      </c>
    </row>
    <row r="236" spans="1:4">
      <c r="A236" t="s">
        <v>582</v>
      </c>
      <c r="B236" t="s">
        <v>583</v>
      </c>
      <c r="C236" t="s">
        <v>370</v>
      </c>
      <c r="D236" t="s">
        <v>86</v>
      </c>
    </row>
    <row r="237" spans="1:4">
      <c r="A237" t="s">
        <v>584</v>
      </c>
      <c r="B237" t="s">
        <v>573</v>
      </c>
      <c r="C237" t="s">
        <v>569</v>
      </c>
      <c r="D237" t="s">
        <v>550</v>
      </c>
    </row>
    <row r="238" spans="1:4">
      <c r="A238" t="s">
        <v>585</v>
      </c>
      <c r="B238" t="s">
        <v>575</v>
      </c>
      <c r="C238" t="s">
        <v>569</v>
      </c>
      <c r="D238" t="s">
        <v>550</v>
      </c>
    </row>
    <row r="239" spans="1:4">
      <c r="A239" t="s">
        <v>586</v>
      </c>
      <c r="B239" t="s">
        <v>587</v>
      </c>
      <c r="C239" t="s">
        <v>370</v>
      </c>
      <c r="D239" t="s">
        <v>91</v>
      </c>
    </row>
    <row r="240" spans="1:4">
      <c r="A240" t="s">
        <v>588</v>
      </c>
      <c r="B240" t="s">
        <v>406</v>
      </c>
      <c r="C240" t="s">
        <v>407</v>
      </c>
      <c r="D240" t="s">
        <v>96</v>
      </c>
    </row>
    <row r="241" spans="1:4">
      <c r="A241" t="s">
        <v>589</v>
      </c>
      <c r="B241" t="s">
        <v>590</v>
      </c>
      <c r="C241" t="s">
        <v>393</v>
      </c>
      <c r="D241" t="s">
        <v>393</v>
      </c>
    </row>
    <row r="242" spans="1:4">
      <c r="A242" t="s">
        <v>591</v>
      </c>
      <c r="B242" t="s">
        <v>579</v>
      </c>
      <c r="C242" t="s">
        <v>550</v>
      </c>
      <c r="D242" t="s">
        <v>550</v>
      </c>
    </row>
    <row r="243" spans="1:4">
      <c r="A243" t="s">
        <v>592</v>
      </c>
      <c r="B243" t="s">
        <v>590</v>
      </c>
      <c r="C243" t="s">
        <v>393</v>
      </c>
      <c r="D243" t="s">
        <v>393</v>
      </c>
    </row>
    <row r="244" spans="1:4">
      <c r="A244" t="s">
        <v>593</v>
      </c>
      <c r="B244" t="s">
        <v>529</v>
      </c>
      <c r="C244" t="s">
        <v>372</v>
      </c>
      <c r="D244" t="s">
        <v>86</v>
      </c>
    </row>
    <row r="245" spans="1:4">
      <c r="A245">
        <v>210060126000008</v>
      </c>
      <c r="B245" t="s">
        <v>472</v>
      </c>
      <c r="C245" t="s">
        <v>393</v>
      </c>
      <c r="D245" t="s">
        <v>393</v>
      </c>
    </row>
    <row r="246" spans="1:4">
      <c r="A246" t="s">
        <v>594</v>
      </c>
      <c r="B246" t="s">
        <v>526</v>
      </c>
      <c r="C246" t="s">
        <v>407</v>
      </c>
      <c r="D246" t="s">
        <v>96</v>
      </c>
    </row>
    <row r="247" spans="1:4">
      <c r="A247" t="s">
        <v>595</v>
      </c>
      <c r="B247" t="s">
        <v>376</v>
      </c>
      <c r="C247" t="s">
        <v>372</v>
      </c>
      <c r="D247" t="s">
        <v>86</v>
      </c>
    </row>
    <row r="248" spans="1:4">
      <c r="A248" t="s">
        <v>596</v>
      </c>
      <c r="B248" t="s">
        <v>565</v>
      </c>
      <c r="C248" t="s">
        <v>407</v>
      </c>
      <c r="D248" t="s">
        <v>96</v>
      </c>
    </row>
    <row r="249" spans="1:4">
      <c r="A249" t="s">
        <v>597</v>
      </c>
      <c r="B249" t="s">
        <v>565</v>
      </c>
      <c r="C249" t="s">
        <v>407</v>
      </c>
      <c r="D249" t="s">
        <v>96</v>
      </c>
    </row>
    <row r="250" spans="1:4">
      <c r="A250" t="s">
        <v>598</v>
      </c>
      <c r="B250" t="s">
        <v>599</v>
      </c>
      <c r="C250" t="s">
        <v>393</v>
      </c>
      <c r="D250" t="s">
        <v>393</v>
      </c>
    </row>
    <row r="251" spans="1:4">
      <c r="A251" t="s">
        <v>600</v>
      </c>
      <c r="B251" t="s">
        <v>601</v>
      </c>
      <c r="C251" t="s">
        <v>602</v>
      </c>
      <c r="D251" t="s">
        <v>602</v>
      </c>
    </row>
    <row r="252" spans="1:4">
      <c r="A252" t="s">
        <v>603</v>
      </c>
      <c r="B252" t="s">
        <v>604</v>
      </c>
      <c r="C252" t="s">
        <v>393</v>
      </c>
      <c r="D252" t="s">
        <v>393</v>
      </c>
    </row>
    <row r="253" spans="1:4">
      <c r="A253" t="s">
        <v>605</v>
      </c>
      <c r="B253" t="s">
        <v>606</v>
      </c>
      <c r="C253" t="s">
        <v>370</v>
      </c>
      <c r="D253" t="s">
        <v>86</v>
      </c>
    </row>
    <row r="254" spans="1:4">
      <c r="A254" t="s">
        <v>607</v>
      </c>
      <c r="B254" t="s">
        <v>546</v>
      </c>
      <c r="C254" t="s">
        <v>372</v>
      </c>
      <c r="D254" t="s">
        <v>86</v>
      </c>
    </row>
    <row r="255" spans="1:4">
      <c r="A255" t="s">
        <v>608</v>
      </c>
      <c r="B255" t="s">
        <v>609</v>
      </c>
      <c r="C255" t="s">
        <v>370</v>
      </c>
      <c r="D255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081D-B05E-4472-B906-530888B37EF3}">
  <sheetPr codeName="Sheet5" filterMode="1"/>
  <dimension ref="A1:G37"/>
  <sheetViews>
    <sheetView topLeftCell="A20" workbookViewId="0">
      <selection activeCell="B36" sqref="B36"/>
    </sheetView>
  </sheetViews>
  <sheetFormatPr defaultRowHeight="14.5"/>
  <cols>
    <col min="1" max="1" width="23.1796875" bestFit="1" customWidth="1"/>
    <col min="3" max="5" width="18.1796875" bestFit="1" customWidth="1"/>
    <col min="7" max="7" width="17.1796875" bestFit="1" customWidth="1"/>
  </cols>
  <sheetData>
    <row r="1" spans="1:7" ht="23">
      <c r="A1" s="264" t="s">
        <v>610</v>
      </c>
      <c r="B1" s="264" t="s">
        <v>176</v>
      </c>
      <c r="C1" s="263" t="s">
        <v>611</v>
      </c>
      <c r="D1" s="263" t="s">
        <v>134</v>
      </c>
      <c r="E1" s="264" t="s">
        <v>612</v>
      </c>
      <c r="F1" s="264" t="s">
        <v>613</v>
      </c>
    </row>
    <row r="2" spans="1:7" hidden="1">
      <c r="A2" t="s">
        <v>13</v>
      </c>
      <c r="B2" t="s">
        <v>13</v>
      </c>
      <c r="C2" s="11">
        <v>20443013699</v>
      </c>
      <c r="D2" s="11">
        <v>20437893206</v>
      </c>
      <c r="E2" s="11">
        <v>20000000000</v>
      </c>
      <c r="F2" t="s">
        <v>614</v>
      </c>
      <c r="G2" s="11">
        <f>VLOOKUP('AC 31.12.2022'!A2,'NTFS - Supporting'!D:J,6,0)</f>
        <v>20000000000</v>
      </c>
    </row>
    <row r="3" spans="1:7" hidden="1">
      <c r="A3" t="s">
        <v>23</v>
      </c>
      <c r="B3" t="s">
        <v>23</v>
      </c>
      <c r="C3" s="11">
        <v>10241643836</v>
      </c>
      <c r="D3" s="11">
        <v>10240655496</v>
      </c>
      <c r="E3" s="11">
        <v>10000000000</v>
      </c>
      <c r="F3" t="s">
        <v>614</v>
      </c>
      <c r="G3" s="11">
        <f>VLOOKUP('AC 31.12.2022'!A3,'NTFS - Supporting'!D:J,6,0)</f>
        <v>10000000000</v>
      </c>
    </row>
    <row r="4" spans="1:7">
      <c r="A4" t="s">
        <v>98</v>
      </c>
      <c r="B4" t="s">
        <v>98</v>
      </c>
      <c r="C4" s="11">
        <v>125562000000</v>
      </c>
      <c r="D4" s="11">
        <v>125435227368</v>
      </c>
      <c r="E4" s="11">
        <v>120000000000</v>
      </c>
      <c r="F4" t="s">
        <v>615</v>
      </c>
      <c r="G4" s="11">
        <f>VLOOKUP('AC 31.12.2022'!A4,'NTFS - Supporting'!D:J,6,0)</f>
        <v>120000000000</v>
      </c>
    </row>
    <row r="5" spans="1:7" hidden="1">
      <c r="A5" t="s">
        <v>18</v>
      </c>
      <c r="B5" t="s">
        <v>18</v>
      </c>
      <c r="C5" s="11">
        <v>20443397260</v>
      </c>
      <c r="D5" s="11">
        <v>21716853479</v>
      </c>
      <c r="E5" s="11">
        <v>20000000000</v>
      </c>
      <c r="F5" t="s">
        <v>615</v>
      </c>
      <c r="G5" s="11">
        <f>VLOOKUP('AC 31.12.2022'!A5,'NTFS - Supporting'!D:J,6,0)</f>
        <v>20000000000</v>
      </c>
    </row>
    <row r="6" spans="1:7" hidden="1">
      <c r="A6" t="s">
        <v>19</v>
      </c>
      <c r="B6" t="s">
        <v>19</v>
      </c>
      <c r="C6" s="11">
        <v>30605712329</v>
      </c>
      <c r="D6" s="11">
        <v>30589586344</v>
      </c>
      <c r="E6" s="11">
        <v>30000000000</v>
      </c>
      <c r="F6" t="s">
        <v>615</v>
      </c>
      <c r="G6" s="11">
        <f>VLOOKUP('AC 31.12.2022'!A6,'NTFS - Supporting'!D:J,6,0)</f>
        <v>30000000000</v>
      </c>
    </row>
    <row r="7" spans="1:7">
      <c r="A7" t="s">
        <v>99</v>
      </c>
      <c r="B7" t="s">
        <v>99</v>
      </c>
      <c r="C7" s="11">
        <v>11323128082</v>
      </c>
      <c r="D7" s="11">
        <v>11324777607</v>
      </c>
      <c r="E7" s="11">
        <v>11025000000</v>
      </c>
      <c r="F7" t="s">
        <v>614</v>
      </c>
      <c r="G7" s="11">
        <f>VLOOKUP('AC 31.12.2022'!A7,'NTFS - Supporting'!D:J,6,0)</f>
        <v>11025000000</v>
      </c>
    </row>
    <row r="8" spans="1:7" hidden="1">
      <c r="A8" t="s">
        <v>20</v>
      </c>
      <c r="B8" t="s">
        <v>20</v>
      </c>
      <c r="C8" s="11">
        <v>6612649366</v>
      </c>
      <c r="D8" s="11">
        <v>6452397844</v>
      </c>
      <c r="E8" s="11">
        <v>6460413750</v>
      </c>
      <c r="F8" t="s">
        <v>614</v>
      </c>
      <c r="G8" s="11">
        <f>VLOOKUP('AC 31.12.2022'!A8,'NTFS - Supporting'!D:J,6,0)</f>
        <v>6460413750</v>
      </c>
    </row>
    <row r="9" spans="1:7">
      <c r="A9" t="s">
        <v>100</v>
      </c>
      <c r="B9" t="s">
        <v>100</v>
      </c>
      <c r="C9" s="11">
        <v>10192328767</v>
      </c>
      <c r="D9" s="11">
        <v>10297143661</v>
      </c>
      <c r="E9" s="11">
        <v>10000000000</v>
      </c>
      <c r="F9" t="s">
        <v>614</v>
      </c>
      <c r="G9" s="11">
        <f>VLOOKUP('AC 31.12.2022'!A9,'NTFS - Supporting'!D:J,6,0)</f>
        <v>10000000000</v>
      </c>
    </row>
    <row r="10" spans="1:7">
      <c r="A10" t="s">
        <v>101</v>
      </c>
      <c r="B10" t="s">
        <v>101</v>
      </c>
      <c r="C10" s="11">
        <v>30683835616</v>
      </c>
      <c r="D10" s="11">
        <v>30685630054</v>
      </c>
      <c r="E10" s="11">
        <v>30000000000</v>
      </c>
      <c r="F10" t="s">
        <v>614</v>
      </c>
      <c r="G10" s="11">
        <f>VLOOKUP('AC 31.12.2022'!A10,'NTFS - Supporting'!D:J,6,0)</f>
        <v>30000000000</v>
      </c>
    </row>
    <row r="11" spans="1:7">
      <c r="A11" t="s">
        <v>102</v>
      </c>
      <c r="B11" t="s">
        <v>102</v>
      </c>
      <c r="C11" s="11">
        <v>13032410959</v>
      </c>
      <c r="D11" s="11">
        <v>13032042804</v>
      </c>
      <c r="E11" s="11">
        <v>13000000000</v>
      </c>
      <c r="F11" t="s">
        <v>614</v>
      </c>
      <c r="G11" s="11">
        <f>VLOOKUP('AC 31.12.2022'!A11,'NTFS - Supporting'!D:J,6,0)</f>
        <v>13000000000</v>
      </c>
    </row>
    <row r="12" spans="1:7">
      <c r="A12" t="s">
        <v>103</v>
      </c>
      <c r="B12" t="s">
        <v>103</v>
      </c>
      <c r="C12" s="11">
        <v>42937349429</v>
      </c>
      <c r="D12" s="11">
        <v>42421591914</v>
      </c>
      <c r="E12" s="11">
        <v>42848600000</v>
      </c>
      <c r="F12" t="s">
        <v>614</v>
      </c>
      <c r="G12" s="11">
        <f>VLOOKUP('AC 31.12.2022'!A12,'NTFS - Supporting'!D:J,6,0)</f>
        <v>42848600000</v>
      </c>
    </row>
    <row r="13" spans="1:7">
      <c r="A13" t="s">
        <v>104</v>
      </c>
      <c r="B13" t="s">
        <v>104</v>
      </c>
      <c r="C13" s="11">
        <v>7267536986</v>
      </c>
      <c r="D13" s="11">
        <v>7034482607</v>
      </c>
      <c r="E13" s="11">
        <v>7200000000</v>
      </c>
      <c r="F13" t="s">
        <v>615</v>
      </c>
      <c r="G13" s="11">
        <f>VLOOKUP('AC 31.12.2022'!A13,'NTFS - Supporting'!D:J,6,0)</f>
        <v>7200000000</v>
      </c>
    </row>
    <row r="14" spans="1:7">
      <c r="A14" t="s">
        <v>105</v>
      </c>
      <c r="B14" t="s">
        <v>105</v>
      </c>
      <c r="C14" s="11">
        <v>6558753767</v>
      </c>
      <c r="D14" s="11">
        <v>6550960247</v>
      </c>
      <c r="E14" s="11">
        <v>6500000000</v>
      </c>
      <c r="F14" t="s">
        <v>615</v>
      </c>
      <c r="G14" s="11">
        <f>VLOOKUP('AC 31.12.2022'!A14,'NTFS - Supporting'!D:J,6,0)</f>
        <v>6500000000</v>
      </c>
    </row>
    <row r="15" spans="1:7">
      <c r="A15" t="s">
        <v>106</v>
      </c>
      <c r="B15" t="s">
        <v>106</v>
      </c>
      <c r="C15" s="11">
        <v>503837329</v>
      </c>
      <c r="D15" s="11">
        <v>503231343</v>
      </c>
      <c r="E15" s="11">
        <v>500000000</v>
      </c>
      <c r="F15" t="s">
        <v>615</v>
      </c>
      <c r="G15" s="11">
        <f>VLOOKUP('AC 31.12.2022'!A15,'NTFS - Supporting'!D:J,6,0)</f>
        <v>500000000</v>
      </c>
    </row>
    <row r="16" spans="1:7">
      <c r="A16" t="s">
        <v>107</v>
      </c>
      <c r="B16" t="s">
        <v>107</v>
      </c>
      <c r="C16" s="11">
        <v>2013302740</v>
      </c>
      <c r="D16" s="11">
        <v>2010854453</v>
      </c>
      <c r="E16" s="11">
        <v>2000000000</v>
      </c>
      <c r="F16" t="s">
        <v>615</v>
      </c>
      <c r="G16" s="11">
        <f>VLOOKUP('AC 31.12.2022'!A16,'NTFS - Supporting'!D:J,6,0)</f>
        <v>2000000000</v>
      </c>
    </row>
    <row r="17" spans="1:7">
      <c r="A17" t="s">
        <v>108</v>
      </c>
      <c r="B17" t="s">
        <v>108</v>
      </c>
      <c r="C17" s="11">
        <v>4022512329</v>
      </c>
      <c r="D17" s="11">
        <v>4018236443</v>
      </c>
      <c r="E17" s="11">
        <v>4000000000</v>
      </c>
      <c r="F17" t="s">
        <v>615</v>
      </c>
      <c r="G17" s="11">
        <f>VLOOKUP('AC 31.12.2022'!A17,'NTFS - Supporting'!D:J,6,0)</f>
        <v>4000000000</v>
      </c>
    </row>
    <row r="18" spans="1:7">
      <c r="A18" t="s">
        <v>109</v>
      </c>
      <c r="B18" t="s">
        <v>109</v>
      </c>
      <c r="C18" s="11">
        <v>1507930479</v>
      </c>
      <c r="D18" s="11">
        <v>1506072608</v>
      </c>
      <c r="E18" s="11">
        <v>1500000000</v>
      </c>
      <c r="F18" t="s">
        <v>615</v>
      </c>
      <c r="G18" s="11">
        <f>VLOOKUP('AC 31.12.2022'!A18,'NTFS - Supporting'!D:J,6,0)</f>
        <v>1500000000</v>
      </c>
    </row>
    <row r="19" spans="1:7">
      <c r="A19" t="s">
        <v>110</v>
      </c>
      <c r="B19" t="s">
        <v>110</v>
      </c>
      <c r="C19" s="11">
        <v>4017054795</v>
      </c>
      <c r="D19" s="11">
        <v>4012050342</v>
      </c>
      <c r="E19" s="11">
        <v>4000000000</v>
      </c>
      <c r="F19" t="s">
        <v>615</v>
      </c>
      <c r="G19" s="11">
        <f>VLOOKUP('AC 31.12.2022'!A19,'NTFS - Supporting'!D:J,6,0)</f>
        <v>4000000000</v>
      </c>
    </row>
    <row r="20" spans="1:7">
      <c r="A20" t="s">
        <v>111</v>
      </c>
      <c r="B20" t="s">
        <v>111</v>
      </c>
      <c r="C20" s="11">
        <v>1503325685</v>
      </c>
      <c r="D20" s="11">
        <v>1502638237</v>
      </c>
      <c r="E20" s="11">
        <v>1500000000</v>
      </c>
      <c r="F20" t="s">
        <v>615</v>
      </c>
      <c r="G20" s="11">
        <f>VLOOKUP('AC 31.12.2022'!A20,'NTFS - Supporting'!D:J,6,0)</f>
        <v>1500000000</v>
      </c>
    </row>
    <row r="21" spans="1:7">
      <c r="A21" t="s">
        <v>112</v>
      </c>
      <c r="B21" t="s">
        <v>112</v>
      </c>
      <c r="C21" s="11">
        <v>500938014</v>
      </c>
      <c r="D21" s="11">
        <v>500748428</v>
      </c>
      <c r="E21" s="11">
        <v>500000000</v>
      </c>
      <c r="F21" t="s">
        <v>615</v>
      </c>
      <c r="G21" s="11">
        <f>VLOOKUP('AC 31.12.2022'!A21,'NTFS - Supporting'!D:J,6,0)</f>
        <v>500000000</v>
      </c>
    </row>
    <row r="22" spans="1:7">
      <c r="A22" t="s">
        <v>113</v>
      </c>
      <c r="B22" t="s">
        <v>113</v>
      </c>
      <c r="C22" s="11">
        <v>3101586096</v>
      </c>
      <c r="D22" s="11">
        <v>3100628393</v>
      </c>
      <c r="E22" s="11">
        <v>3100000000</v>
      </c>
      <c r="F22" t="s">
        <v>615</v>
      </c>
      <c r="G22" s="11">
        <f>VLOOKUP('AC 31.12.2022'!A22,'NTFS - Supporting'!D:J,6,0)</f>
        <v>3100000000</v>
      </c>
    </row>
    <row r="23" spans="1:7">
      <c r="A23" t="s">
        <v>114</v>
      </c>
      <c r="B23" t="s">
        <v>114</v>
      </c>
      <c r="C23" s="11">
        <v>2007163014</v>
      </c>
      <c r="D23" s="11">
        <v>2005092565</v>
      </c>
      <c r="E23" s="11">
        <v>2000000000</v>
      </c>
      <c r="F23" t="s">
        <v>615</v>
      </c>
      <c r="G23" s="11">
        <f>VLOOKUP('AC 31.12.2022'!A23,'NTFS - Supporting'!D:J,6,0)</f>
        <v>2000000000</v>
      </c>
    </row>
    <row r="24" spans="1:7">
      <c r="A24" t="s">
        <v>115</v>
      </c>
      <c r="B24" t="s">
        <v>115</v>
      </c>
      <c r="C24" s="11">
        <v>502984589</v>
      </c>
      <c r="D24" s="11">
        <v>502372610</v>
      </c>
      <c r="E24" s="11">
        <v>500000000</v>
      </c>
      <c r="F24" t="s">
        <v>615</v>
      </c>
      <c r="G24" s="11">
        <f>VLOOKUP('AC 31.12.2022'!A24,'NTFS - Supporting'!D:J,6,0)</f>
        <v>500000000</v>
      </c>
    </row>
    <row r="25" spans="1:7">
      <c r="A25" t="s">
        <v>116</v>
      </c>
      <c r="B25" t="s">
        <v>116</v>
      </c>
      <c r="C25" s="11">
        <v>501449658</v>
      </c>
      <c r="D25" s="11">
        <v>501065169</v>
      </c>
      <c r="E25" s="11">
        <v>500000000</v>
      </c>
      <c r="F25" t="s">
        <v>615</v>
      </c>
      <c r="G25" s="11">
        <f>VLOOKUP('AC 31.12.2022'!A25,'NTFS - Supporting'!D:J,6,0)</f>
        <v>500000000</v>
      </c>
    </row>
    <row r="26" spans="1:7">
      <c r="A26" t="s">
        <v>117</v>
      </c>
      <c r="B26" t="s">
        <v>117</v>
      </c>
      <c r="C26" s="11">
        <v>1001193836</v>
      </c>
      <c r="D26" s="11">
        <v>1000609672</v>
      </c>
      <c r="E26" s="11">
        <v>1000000000</v>
      </c>
      <c r="F26" t="s">
        <v>615</v>
      </c>
      <c r="G26" s="11">
        <f>VLOOKUP('AC 31.12.2022'!A26,'NTFS - Supporting'!D:J,6,0)</f>
        <v>1000000000</v>
      </c>
    </row>
    <row r="27" spans="1:7">
      <c r="A27" t="s">
        <v>118</v>
      </c>
      <c r="B27" t="s">
        <v>118</v>
      </c>
      <c r="C27" s="11">
        <v>106510493932</v>
      </c>
      <c r="D27" s="11">
        <v>106596540031</v>
      </c>
      <c r="E27" s="11">
        <v>100959841877</v>
      </c>
      <c r="F27" t="s">
        <v>615</v>
      </c>
      <c r="G27" s="11">
        <f>VLOOKUP('AC 31.12.2022'!A27,'NTFS - Supporting'!D:J,6,0)</f>
        <v>100959841877</v>
      </c>
    </row>
    <row r="28" spans="1:7">
      <c r="A28" t="s">
        <v>119</v>
      </c>
      <c r="B28" t="s">
        <v>119</v>
      </c>
      <c r="C28" s="11">
        <v>212723287671</v>
      </c>
      <c r="D28" s="11">
        <v>212575652330</v>
      </c>
      <c r="E28" s="11">
        <v>200000000000</v>
      </c>
      <c r="F28" t="s">
        <v>615</v>
      </c>
      <c r="G28" s="11">
        <f>VLOOKUP('AC 31.12.2022'!A28,'NTFS - Supporting'!D:J,6,0)</f>
        <v>200000000000</v>
      </c>
    </row>
    <row r="29" spans="1:7">
      <c r="A29" t="s">
        <v>120</v>
      </c>
      <c r="B29" t="s">
        <v>120</v>
      </c>
      <c r="C29" s="11">
        <v>108291719482</v>
      </c>
      <c r="D29" s="11">
        <v>108266046107</v>
      </c>
      <c r="E29" s="11">
        <v>100449697564</v>
      </c>
      <c r="F29" t="s">
        <v>615</v>
      </c>
      <c r="G29" s="11">
        <f>VLOOKUP('AC 31.12.2022'!A29,'NTFS - Supporting'!D:J,6,0)</f>
        <v>100449697564</v>
      </c>
    </row>
    <row r="30" spans="1:7">
      <c r="A30" t="s">
        <v>121</v>
      </c>
      <c r="B30" t="s">
        <v>121</v>
      </c>
      <c r="C30" s="11">
        <v>53561870981</v>
      </c>
      <c r="D30" s="11">
        <v>53537399220</v>
      </c>
      <c r="E30" s="11">
        <v>50243684680</v>
      </c>
      <c r="F30" t="s">
        <v>615</v>
      </c>
      <c r="G30" s="11">
        <f>VLOOKUP('AC 31.12.2022'!A30,'NTFS - Supporting'!D:J,6,0)</f>
        <v>50243684680</v>
      </c>
    </row>
    <row r="31" spans="1:7" hidden="1">
      <c r="A31" t="s">
        <v>25</v>
      </c>
      <c r="B31" t="s">
        <v>25</v>
      </c>
      <c r="C31" s="11">
        <v>53651709324</v>
      </c>
      <c r="D31" s="11">
        <v>52963560296</v>
      </c>
      <c r="E31" s="11">
        <v>50019325543</v>
      </c>
      <c r="F31" t="s">
        <v>615</v>
      </c>
      <c r="G31" s="11">
        <f>VLOOKUP('AC 31.12.2022'!A31,'NTFS - Supporting'!D:J,6,0)</f>
        <v>50019325543</v>
      </c>
    </row>
    <row r="32" spans="1:7" hidden="1">
      <c r="A32" t="s">
        <v>26</v>
      </c>
      <c r="B32" t="s">
        <v>26</v>
      </c>
      <c r="C32" s="11">
        <v>53561531015</v>
      </c>
      <c r="D32" s="11">
        <v>53545964851</v>
      </c>
      <c r="E32" s="11">
        <v>50169327947</v>
      </c>
      <c r="F32" t="s">
        <v>615</v>
      </c>
      <c r="G32" s="11">
        <f>VLOOKUP('AC 31.12.2022'!A32,'NTFS - Supporting'!D:J,6,0)</f>
        <v>50169327947</v>
      </c>
    </row>
    <row r="33" spans="1:7" hidden="1">
      <c r="A33" t="s">
        <v>21</v>
      </c>
      <c r="B33" t="s">
        <v>21</v>
      </c>
      <c r="C33" s="11">
        <v>5231293836</v>
      </c>
      <c r="D33" s="11">
        <v>5147284875</v>
      </c>
      <c r="E33" s="11">
        <v>5169650000</v>
      </c>
      <c r="F33" t="s">
        <v>614</v>
      </c>
      <c r="G33" s="11">
        <f>VLOOKUP('AC 31.12.2022'!A33,'NTFS - Supporting'!D:J,6,0)</f>
        <v>5169650000</v>
      </c>
    </row>
    <row r="34" spans="1:7">
      <c r="A34" t="s">
        <v>122</v>
      </c>
      <c r="B34" t="s">
        <v>122</v>
      </c>
      <c r="C34" s="11">
        <v>73846222159</v>
      </c>
      <c r="D34" s="11">
        <v>73614459563</v>
      </c>
      <c r="E34" s="11">
        <v>72885641450</v>
      </c>
      <c r="F34" t="s">
        <v>614</v>
      </c>
      <c r="G34" s="11">
        <f>VLOOKUP('AC 31.12.2022'!A34,'NTFS - Supporting'!D:J,6,0)</f>
        <v>72885641450</v>
      </c>
    </row>
    <row r="35" spans="1:7">
      <c r="A35" t="s">
        <v>123</v>
      </c>
      <c r="B35" t="s">
        <v>123</v>
      </c>
      <c r="C35" s="11">
        <v>51618805428</v>
      </c>
      <c r="D35" s="11">
        <v>46809372197</v>
      </c>
      <c r="E35" s="11">
        <v>46800082140</v>
      </c>
      <c r="F35" t="s">
        <v>616</v>
      </c>
      <c r="G35" s="11">
        <f>VLOOKUP('AC 31.12.2022'!A35,'NTFS - Supporting'!D:J,6,0)</f>
        <v>46800082140</v>
      </c>
    </row>
    <row r="36" spans="1:7">
      <c r="A36" t="s">
        <v>124</v>
      </c>
      <c r="B36" t="s">
        <v>124</v>
      </c>
      <c r="C36" s="11">
        <v>11082739727</v>
      </c>
      <c r="D36" s="11">
        <v>11043015475</v>
      </c>
      <c r="E36" s="11">
        <v>10903013700</v>
      </c>
      <c r="F36" t="s">
        <v>616</v>
      </c>
      <c r="G36" s="11">
        <f>VLOOKUP('AC 31.12.2022'!A36,'NTFS - Supporting'!D:J,6,0)</f>
        <v>10903013700</v>
      </c>
    </row>
    <row r="37" spans="1:7">
      <c r="A37" t="s">
        <v>125</v>
      </c>
      <c r="B37" t="s">
        <v>125</v>
      </c>
      <c r="C37" s="11">
        <v>21762027405</v>
      </c>
      <c r="D37" s="11">
        <v>21680906965</v>
      </c>
      <c r="E37" s="11">
        <v>21398082200</v>
      </c>
      <c r="F37" t="s">
        <v>616</v>
      </c>
      <c r="G37" s="11">
        <f>VLOOKUP('AC 31.12.2022'!A37,'NTFS - Supporting'!D:J,6,0)</f>
        <v>21398082200</v>
      </c>
    </row>
  </sheetData>
  <autoFilter ref="A1:G37" xr:uid="{25F5081D-B05E-4472-B906-530888B37EF3}">
    <filterColumn colId="6">
      <filters>
        <filter val="#N/A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4A94-AA40-4362-9A1B-AF7D029CD1B6}">
  <sheetPr codeName="Sheet6"/>
  <dimension ref="A1:AD39"/>
  <sheetViews>
    <sheetView topLeftCell="B1" zoomScale="85" zoomScaleNormal="85" workbookViewId="0">
      <selection activeCell="F6" sqref="F6"/>
    </sheetView>
  </sheetViews>
  <sheetFormatPr defaultRowHeight="14.5"/>
  <cols>
    <col min="1" max="2" width="8.81640625"/>
    <col min="5" max="5" width="31.54296875" bestFit="1" customWidth="1"/>
    <col min="6" max="6" width="23.1796875" bestFit="1" customWidth="1"/>
    <col min="7" max="7" width="23.1796875" customWidth="1"/>
    <col min="9" max="10" width="14.1796875" bestFit="1" customWidth="1"/>
    <col min="11" max="11" width="14.1796875" customWidth="1"/>
    <col min="12" max="12" width="9" bestFit="1" customWidth="1"/>
    <col min="13" max="14" width="9" customWidth="1"/>
    <col min="15" max="15" width="9" bestFit="1" customWidth="1"/>
    <col min="25" max="25" width="9.1796875" bestFit="1" customWidth="1"/>
    <col min="26" max="26" width="18.54296875" bestFit="1" customWidth="1"/>
    <col min="27" max="27" width="14.453125" bestFit="1" customWidth="1"/>
    <col min="28" max="28" width="9.1796875" bestFit="1" customWidth="1"/>
    <col min="29" max="29" width="11.81640625" bestFit="1" customWidth="1"/>
    <col min="30" max="30" width="10.453125" bestFit="1" customWidth="1"/>
  </cols>
  <sheetData>
    <row r="1" spans="1:30" ht="57.5">
      <c r="B1" s="14" t="s">
        <v>617</v>
      </c>
      <c r="C1" s="14" t="s">
        <v>610</v>
      </c>
      <c r="D1" s="15" t="s">
        <v>613</v>
      </c>
      <c r="E1" s="15" t="s">
        <v>72</v>
      </c>
      <c r="F1" s="15" t="s">
        <v>176</v>
      </c>
      <c r="G1" s="15"/>
      <c r="H1" s="15" t="s">
        <v>618</v>
      </c>
      <c r="I1" s="15" t="s">
        <v>619</v>
      </c>
      <c r="J1" s="15" t="s">
        <v>177</v>
      </c>
      <c r="K1" s="15" t="s">
        <v>179</v>
      </c>
      <c r="L1" s="16" t="s">
        <v>620</v>
      </c>
      <c r="M1" s="16" t="s">
        <v>180</v>
      </c>
      <c r="N1" s="16" t="s">
        <v>181</v>
      </c>
      <c r="O1" s="16" t="s">
        <v>621</v>
      </c>
      <c r="P1" s="15" t="s">
        <v>7</v>
      </c>
      <c r="Q1" s="15" t="s">
        <v>141</v>
      </c>
      <c r="R1" s="15" t="s">
        <v>142</v>
      </c>
      <c r="S1" s="15" t="s">
        <v>143</v>
      </c>
      <c r="T1" s="15" t="s">
        <v>622</v>
      </c>
      <c r="U1" s="15" t="s">
        <v>144</v>
      </c>
      <c r="V1" s="15" t="s">
        <v>12</v>
      </c>
      <c r="W1" s="17" t="s">
        <v>146</v>
      </c>
      <c r="Y1" s="75" t="s">
        <v>177</v>
      </c>
      <c r="Z1" s="74" t="s">
        <v>623</v>
      </c>
      <c r="AA1" s="75" t="s">
        <v>624</v>
      </c>
      <c r="AB1" s="76" t="s">
        <v>180</v>
      </c>
      <c r="AC1" s="76" t="s">
        <v>181</v>
      </c>
      <c r="AD1" s="76" t="s">
        <v>182</v>
      </c>
    </row>
    <row r="2" spans="1:30">
      <c r="A2" t="s">
        <v>126</v>
      </c>
      <c r="C2" s="18" t="s">
        <v>13</v>
      </c>
      <c r="D2" s="19" t="s">
        <v>614</v>
      </c>
      <c r="E2" s="19" t="s">
        <v>625</v>
      </c>
      <c r="F2" s="19" t="s">
        <v>13</v>
      </c>
      <c r="G2" s="19" t="e">
        <f>VLOOKUP(F2,#REF!,4,0)</f>
        <v>#REF!</v>
      </c>
      <c r="H2" s="20">
        <v>200000</v>
      </c>
      <c r="I2" s="21">
        <v>20000000000</v>
      </c>
      <c r="J2" s="22">
        <v>20000000000</v>
      </c>
      <c r="K2" s="117"/>
      <c r="L2" s="23">
        <v>44484</v>
      </c>
      <c r="M2" s="23"/>
      <c r="N2" s="23"/>
      <c r="O2" s="23">
        <v>45580</v>
      </c>
      <c r="P2" s="24">
        <v>0.105</v>
      </c>
      <c r="Q2" s="25" t="s">
        <v>155</v>
      </c>
      <c r="R2" s="26" t="s">
        <v>15</v>
      </c>
      <c r="S2" s="26">
        <v>6</v>
      </c>
      <c r="T2" s="27">
        <v>45031</v>
      </c>
      <c r="U2" s="28">
        <v>44849</v>
      </c>
      <c r="V2" s="29">
        <v>448767123.28767121</v>
      </c>
      <c r="W2" s="30">
        <v>6</v>
      </c>
    </row>
    <row r="3" spans="1:30">
      <c r="C3" s="18"/>
      <c r="D3" s="19"/>
      <c r="E3" s="19"/>
      <c r="F3" s="19"/>
      <c r="G3" s="19"/>
      <c r="H3" s="20"/>
      <c r="I3" s="21"/>
      <c r="J3" s="22"/>
      <c r="K3" s="117"/>
      <c r="L3" s="23"/>
      <c r="M3" s="23"/>
      <c r="N3" s="23"/>
      <c r="O3" s="23"/>
      <c r="P3" s="24"/>
      <c r="Q3" s="25"/>
      <c r="R3" s="26"/>
      <c r="S3" s="26"/>
      <c r="T3" s="27"/>
      <c r="U3" s="28"/>
      <c r="V3" s="29"/>
      <c r="W3" s="30"/>
    </row>
    <row r="4" spans="1:30">
      <c r="C4" s="18"/>
      <c r="D4" s="19"/>
      <c r="E4" s="19"/>
      <c r="F4" s="19"/>
      <c r="G4" s="19"/>
      <c r="H4" s="20"/>
      <c r="I4" s="21"/>
      <c r="J4" s="22"/>
      <c r="K4" s="117"/>
      <c r="L4" s="23"/>
      <c r="M4" s="23"/>
      <c r="N4" s="23"/>
      <c r="O4" s="23"/>
      <c r="P4" s="24"/>
      <c r="Q4" s="25"/>
      <c r="R4" s="26"/>
      <c r="S4" s="26"/>
      <c r="T4" s="27"/>
      <c r="U4" s="28"/>
      <c r="V4" s="29"/>
      <c r="W4" s="30"/>
    </row>
    <row r="5" spans="1:30">
      <c r="C5" s="18" t="s">
        <v>23</v>
      </c>
      <c r="D5" s="19" t="s">
        <v>614</v>
      </c>
      <c r="E5" s="19" t="s">
        <v>626</v>
      </c>
      <c r="F5" s="19" t="s">
        <v>23</v>
      </c>
      <c r="G5" s="19" t="e">
        <f>VLOOKUP(F5,#REF!,4,0)</f>
        <v>#REF!</v>
      </c>
      <c r="H5" s="20">
        <v>100000</v>
      </c>
      <c r="I5" s="21">
        <v>10000000000</v>
      </c>
      <c r="J5" s="22">
        <v>10000000000</v>
      </c>
      <c r="K5" s="117"/>
      <c r="L5" s="23">
        <v>44477</v>
      </c>
      <c r="M5" s="23"/>
      <c r="N5" s="23"/>
      <c r="O5" s="23">
        <v>45573</v>
      </c>
      <c r="P5" s="24">
        <v>0.105</v>
      </c>
      <c r="Q5" s="25" t="s">
        <v>155</v>
      </c>
      <c r="R5" s="26" t="s">
        <v>22</v>
      </c>
      <c r="S5" s="26">
        <v>3</v>
      </c>
      <c r="T5" s="27">
        <v>44934</v>
      </c>
      <c r="U5" s="31">
        <v>44842</v>
      </c>
      <c r="V5" s="29">
        <v>244520547.94520551</v>
      </c>
      <c r="W5" s="30">
        <v>12</v>
      </c>
    </row>
    <row r="6" spans="1:30">
      <c r="C6" s="18" t="s">
        <v>98</v>
      </c>
      <c r="D6" s="19" t="s">
        <v>615</v>
      </c>
      <c r="E6" s="19" t="s">
        <v>272</v>
      </c>
      <c r="F6" s="19" t="s">
        <v>98</v>
      </c>
      <c r="G6" s="19" t="e">
        <f>VLOOKUP(F6,#REF!,4,0)</f>
        <v>#REF!</v>
      </c>
      <c r="H6" s="20">
        <v>120</v>
      </c>
      <c r="I6" s="21">
        <v>120000000000</v>
      </c>
      <c r="J6" s="22">
        <v>120000000000</v>
      </c>
      <c r="K6" s="117"/>
      <c r="L6" s="23">
        <v>44342</v>
      </c>
      <c r="M6" s="23"/>
      <c r="N6" s="23"/>
      <c r="O6" s="23">
        <v>46899</v>
      </c>
      <c r="P6" s="24">
        <v>7.7249999999999999E-2</v>
      </c>
      <c r="Q6" s="25" t="s">
        <v>627</v>
      </c>
      <c r="R6" s="26" t="s">
        <v>17</v>
      </c>
      <c r="S6" s="26">
        <v>12</v>
      </c>
      <c r="T6" s="27">
        <v>45072</v>
      </c>
      <c r="U6" s="31">
        <v>44707</v>
      </c>
      <c r="V6" s="29">
        <v>5587397260.2739725</v>
      </c>
      <c r="W6" s="30">
        <v>7</v>
      </c>
    </row>
    <row r="7" spans="1:30">
      <c r="C7" s="32" t="s">
        <v>18</v>
      </c>
      <c r="D7" s="33" t="s">
        <v>615</v>
      </c>
      <c r="E7" s="33" t="s">
        <v>628</v>
      </c>
      <c r="F7" s="33" t="s">
        <v>18</v>
      </c>
      <c r="G7" s="19" t="e">
        <f>VLOOKUP(F7,#REF!,4,0)</f>
        <v>#REF!</v>
      </c>
      <c r="H7" s="34">
        <v>2000</v>
      </c>
      <c r="I7" s="35">
        <v>20000000000</v>
      </c>
      <c r="J7" s="35">
        <v>20000000000</v>
      </c>
      <c r="K7" s="118"/>
      <c r="L7" s="36">
        <v>44449</v>
      </c>
      <c r="M7" s="36"/>
      <c r="N7" s="36"/>
      <c r="O7" s="36">
        <v>47006</v>
      </c>
      <c r="P7" s="37">
        <v>7.2249999999999995E-2</v>
      </c>
      <c r="Q7" s="38" t="s">
        <v>159</v>
      </c>
      <c r="R7" s="39" t="s">
        <v>17</v>
      </c>
      <c r="S7" s="39">
        <v>12</v>
      </c>
      <c r="T7" s="40">
        <v>45179</v>
      </c>
      <c r="U7" s="41">
        <v>44814</v>
      </c>
      <c r="V7" s="42">
        <v>447356164.38356161</v>
      </c>
      <c r="W7" s="43">
        <v>7</v>
      </c>
    </row>
    <row r="8" spans="1:30">
      <c r="C8" s="18" t="s">
        <v>19</v>
      </c>
      <c r="D8" s="19" t="s">
        <v>615</v>
      </c>
      <c r="E8" s="19" t="s">
        <v>628</v>
      </c>
      <c r="F8" s="19" t="s">
        <v>19</v>
      </c>
      <c r="G8" s="19" t="e">
        <f>VLOOKUP(F8,#REF!,4,0)</f>
        <v>#REF!</v>
      </c>
      <c r="H8" s="20">
        <v>3000</v>
      </c>
      <c r="I8" s="21">
        <v>30000000000</v>
      </c>
      <c r="J8" s="22">
        <v>30000000000</v>
      </c>
      <c r="K8" s="117"/>
      <c r="L8" s="23">
        <v>44459</v>
      </c>
      <c r="M8" s="23"/>
      <c r="N8" s="23"/>
      <c r="O8" s="23">
        <v>47016</v>
      </c>
      <c r="P8" s="24">
        <v>7.2249999999999995E-2</v>
      </c>
      <c r="Q8" s="25" t="s">
        <v>159</v>
      </c>
      <c r="R8" s="26" t="s">
        <v>17</v>
      </c>
      <c r="S8" s="26">
        <v>12</v>
      </c>
      <c r="T8" s="27">
        <v>45189</v>
      </c>
      <c r="U8" s="44">
        <v>44824</v>
      </c>
      <c r="V8" s="29">
        <v>611650684.93150687</v>
      </c>
      <c r="W8" s="30">
        <v>7</v>
      </c>
    </row>
    <row r="9" spans="1:30">
      <c r="C9" s="18" t="s">
        <v>99</v>
      </c>
      <c r="D9" s="19" t="s">
        <v>614</v>
      </c>
      <c r="E9" s="19" t="s">
        <v>629</v>
      </c>
      <c r="F9" s="19" t="s">
        <v>99</v>
      </c>
      <c r="G9" s="19" t="e">
        <f>VLOOKUP(F9,#REF!,4,0)</f>
        <v>#REF!</v>
      </c>
      <c r="H9" s="45">
        <v>110250</v>
      </c>
      <c r="I9" s="21">
        <v>11025000000</v>
      </c>
      <c r="J9" s="21">
        <v>11025000000</v>
      </c>
      <c r="K9" s="119"/>
      <c r="L9" s="23">
        <v>44467</v>
      </c>
      <c r="M9" s="23"/>
      <c r="N9" s="23"/>
      <c r="O9" s="23">
        <v>45013</v>
      </c>
      <c r="P9" s="46">
        <v>0.105</v>
      </c>
      <c r="Q9" s="47" t="s">
        <v>155</v>
      </c>
      <c r="R9" s="26" t="s">
        <v>15</v>
      </c>
      <c r="S9" s="26">
        <v>6</v>
      </c>
      <c r="T9" s="48">
        <v>45013</v>
      </c>
      <c r="U9" s="49">
        <v>44832</v>
      </c>
      <c r="V9" s="50">
        <v>301299657.53424656</v>
      </c>
      <c r="W9" s="51">
        <v>3</v>
      </c>
    </row>
    <row r="10" spans="1:30">
      <c r="C10" s="18" t="s">
        <v>20</v>
      </c>
      <c r="D10" s="19" t="s">
        <v>614</v>
      </c>
      <c r="E10" s="19" t="s">
        <v>629</v>
      </c>
      <c r="F10" s="19" t="s">
        <v>20</v>
      </c>
      <c r="G10" s="19" t="e">
        <f>VLOOKUP(F10,#REF!,4,0)</f>
        <v>#REF!</v>
      </c>
      <c r="H10" s="45">
        <v>63000</v>
      </c>
      <c r="I10" s="21">
        <v>6460413750</v>
      </c>
      <c r="J10" s="21">
        <v>6300000000</v>
      </c>
      <c r="K10" s="119"/>
      <c r="L10" s="23">
        <v>44477</v>
      </c>
      <c r="M10" s="23"/>
      <c r="N10" s="23"/>
      <c r="O10" s="23">
        <v>45207</v>
      </c>
      <c r="P10" s="46">
        <v>0.105</v>
      </c>
      <c r="Q10" s="47" t="s">
        <v>155</v>
      </c>
      <c r="R10" s="26" t="s">
        <v>15</v>
      </c>
      <c r="S10" s="26">
        <v>6</v>
      </c>
      <c r="T10" s="48">
        <v>45024</v>
      </c>
      <c r="U10" s="49">
        <v>44842</v>
      </c>
      <c r="V10" s="50">
        <v>154047945.20547944</v>
      </c>
      <c r="W10" s="51">
        <v>4</v>
      </c>
    </row>
    <row r="11" spans="1:30">
      <c r="C11" s="18" t="s">
        <v>100</v>
      </c>
      <c r="D11" s="19" t="s">
        <v>614</v>
      </c>
      <c r="E11" s="19" t="s">
        <v>630</v>
      </c>
      <c r="F11" s="19" t="s">
        <v>100</v>
      </c>
      <c r="G11" s="19" t="e">
        <f>VLOOKUP(F11,#REF!,4,0)</f>
        <v>#REF!</v>
      </c>
      <c r="H11" s="20">
        <v>100</v>
      </c>
      <c r="I11" s="21">
        <v>10000000000</v>
      </c>
      <c r="J11" s="22">
        <v>10000000000</v>
      </c>
      <c r="K11" s="117"/>
      <c r="L11" s="23">
        <v>44323</v>
      </c>
      <c r="M11" s="23"/>
      <c r="N11" s="23"/>
      <c r="O11" s="23">
        <v>45053</v>
      </c>
      <c r="P11" s="24">
        <v>0.13</v>
      </c>
      <c r="Q11" s="25" t="s">
        <v>155</v>
      </c>
      <c r="R11" s="26" t="s">
        <v>22</v>
      </c>
      <c r="S11" s="26">
        <v>3</v>
      </c>
      <c r="T11" s="27">
        <v>44964</v>
      </c>
      <c r="U11" s="31">
        <v>44872</v>
      </c>
      <c r="V11" s="29">
        <v>0</v>
      </c>
      <c r="W11" s="30">
        <v>8</v>
      </c>
    </row>
    <row r="12" spans="1:30">
      <c r="C12" s="18" t="s">
        <v>101</v>
      </c>
      <c r="D12" s="19" t="s">
        <v>614</v>
      </c>
      <c r="E12" s="19" t="s">
        <v>630</v>
      </c>
      <c r="F12" s="19" t="s">
        <v>101</v>
      </c>
      <c r="G12" s="19" t="e">
        <f>VLOOKUP(F12,#REF!,4,0)</f>
        <v>#REF!</v>
      </c>
      <c r="H12" s="20">
        <v>300</v>
      </c>
      <c r="I12" s="21">
        <v>30000000000</v>
      </c>
      <c r="J12" s="22">
        <v>30000000000</v>
      </c>
      <c r="K12" s="117"/>
      <c r="L12" s="23">
        <v>44314</v>
      </c>
      <c r="M12" s="23"/>
      <c r="N12" s="23"/>
      <c r="O12" s="23">
        <v>45044</v>
      </c>
      <c r="P12" s="24">
        <v>0.13</v>
      </c>
      <c r="Q12" s="25" t="s">
        <v>155</v>
      </c>
      <c r="R12" s="26" t="s">
        <v>22</v>
      </c>
      <c r="S12" s="26">
        <v>3</v>
      </c>
      <c r="T12" s="27">
        <v>44954</v>
      </c>
      <c r="U12" s="31">
        <v>44862</v>
      </c>
      <c r="V12" s="29">
        <v>694520547.94520545</v>
      </c>
      <c r="W12" s="30">
        <v>8</v>
      </c>
    </row>
    <row r="13" spans="1:30">
      <c r="C13" s="18" t="s">
        <v>102</v>
      </c>
      <c r="D13" s="19" t="s">
        <v>614</v>
      </c>
      <c r="E13" s="19" t="s">
        <v>630</v>
      </c>
      <c r="F13" s="19" t="s">
        <v>102</v>
      </c>
      <c r="G13" s="19" t="e">
        <f>VLOOKUP(F13,#REF!,4,0)</f>
        <v>#REF!</v>
      </c>
      <c r="H13" s="20">
        <v>130</v>
      </c>
      <c r="I13" s="21">
        <v>13000000000</v>
      </c>
      <c r="J13" s="22">
        <v>13000000000</v>
      </c>
      <c r="K13" s="117"/>
      <c r="L13" s="23">
        <v>44463</v>
      </c>
      <c r="M13" s="23"/>
      <c r="N13" s="23"/>
      <c r="O13" s="23">
        <v>45193</v>
      </c>
      <c r="P13" s="24">
        <v>0.13</v>
      </c>
      <c r="Q13" s="25" t="s">
        <v>155</v>
      </c>
      <c r="R13" s="26" t="s">
        <v>22</v>
      </c>
      <c r="S13" s="26">
        <v>3</v>
      </c>
      <c r="T13" s="27">
        <v>45009</v>
      </c>
      <c r="U13" s="31">
        <v>44919</v>
      </c>
      <c r="V13" s="29">
        <v>37041095.89041096</v>
      </c>
      <c r="W13" s="30">
        <v>8</v>
      </c>
    </row>
    <row r="14" spans="1:30">
      <c r="C14" s="18" t="s">
        <v>103</v>
      </c>
      <c r="D14" s="19" t="s">
        <v>614</v>
      </c>
      <c r="E14" s="19" t="s">
        <v>631</v>
      </c>
      <c r="F14" s="19" t="s">
        <v>103</v>
      </c>
      <c r="G14" s="19" t="e">
        <f>VLOOKUP(F14,#REF!,4,0)</f>
        <v>#REF!</v>
      </c>
      <c r="H14" s="20">
        <v>428486</v>
      </c>
      <c r="I14" s="21">
        <v>42848600000</v>
      </c>
      <c r="J14" s="22">
        <v>42848600000</v>
      </c>
      <c r="K14" s="117"/>
      <c r="L14" s="23">
        <v>44371</v>
      </c>
      <c r="M14" s="23"/>
      <c r="N14" s="23"/>
      <c r="O14" s="23">
        <v>45101</v>
      </c>
      <c r="P14" s="24">
        <v>0.108</v>
      </c>
      <c r="Q14" s="25" t="s">
        <v>155</v>
      </c>
      <c r="R14" s="26" t="s">
        <v>15</v>
      </c>
      <c r="S14" s="26">
        <v>6</v>
      </c>
      <c r="T14" s="27">
        <v>45101</v>
      </c>
      <c r="U14" s="31">
        <v>44919</v>
      </c>
      <c r="V14" s="29">
        <v>101427918.90410958</v>
      </c>
      <c r="W14" s="30">
        <v>4</v>
      </c>
    </row>
    <row r="15" spans="1:30">
      <c r="C15" s="18" t="s">
        <v>104</v>
      </c>
      <c r="D15" s="19" t="s">
        <v>615</v>
      </c>
      <c r="E15" s="19" t="s">
        <v>632</v>
      </c>
      <c r="F15" s="19" t="s">
        <v>104</v>
      </c>
      <c r="G15" s="19" t="e">
        <f>VLOOKUP(F15,#REF!,4,0)</f>
        <v>#REF!</v>
      </c>
      <c r="H15" s="20">
        <v>72000</v>
      </c>
      <c r="I15" s="21">
        <v>7200000000</v>
      </c>
      <c r="J15" s="22">
        <v>7200000000</v>
      </c>
      <c r="K15" s="117"/>
      <c r="L15" s="23">
        <v>43410</v>
      </c>
      <c r="M15" s="23"/>
      <c r="N15" s="23"/>
      <c r="O15" s="23">
        <v>45602</v>
      </c>
      <c r="P15" s="24">
        <v>6.225E-2</v>
      </c>
      <c r="Q15" s="25" t="s">
        <v>633</v>
      </c>
      <c r="R15" s="26" t="s">
        <v>17</v>
      </c>
      <c r="S15" s="26">
        <v>12</v>
      </c>
      <c r="T15" s="27">
        <v>45236</v>
      </c>
      <c r="U15" s="31">
        <v>44871</v>
      </c>
      <c r="V15" s="29">
        <v>68764931.506849319</v>
      </c>
      <c r="W15" s="30">
        <v>6</v>
      </c>
    </row>
    <row r="16" spans="1:30">
      <c r="C16" s="18" t="s">
        <v>105</v>
      </c>
      <c r="D16" s="19" t="s">
        <v>615</v>
      </c>
      <c r="E16" s="19" t="s">
        <v>632</v>
      </c>
      <c r="F16" s="19" t="s">
        <v>105</v>
      </c>
      <c r="G16" s="19" t="e">
        <f>VLOOKUP(F16,#REF!,4,0)</f>
        <v>#REF!</v>
      </c>
      <c r="H16" s="20">
        <v>65000</v>
      </c>
      <c r="I16" s="21">
        <v>6500000000</v>
      </c>
      <c r="J16" s="22">
        <v>6500000000</v>
      </c>
      <c r="K16" s="117"/>
      <c r="L16" s="23">
        <v>43412</v>
      </c>
      <c r="M16" s="23"/>
      <c r="N16" s="23"/>
      <c r="O16" s="23">
        <v>45604</v>
      </c>
      <c r="P16" s="24">
        <v>6.225E-2</v>
      </c>
      <c r="Q16" s="25" t="s">
        <v>633</v>
      </c>
      <c r="R16" s="26" t="s">
        <v>17</v>
      </c>
      <c r="S16" s="26">
        <v>12</v>
      </c>
      <c r="T16" s="27">
        <v>45238</v>
      </c>
      <c r="U16" s="31">
        <v>44873</v>
      </c>
      <c r="V16" s="29">
        <v>59862328.767123282</v>
      </c>
      <c r="W16" s="30">
        <v>6</v>
      </c>
    </row>
    <row r="17" spans="3:23">
      <c r="C17" s="18" t="s">
        <v>106</v>
      </c>
      <c r="D17" s="19" t="s">
        <v>615</v>
      </c>
      <c r="E17" s="19" t="s">
        <v>632</v>
      </c>
      <c r="F17" s="19" t="s">
        <v>106</v>
      </c>
      <c r="G17" s="19" t="e">
        <f>VLOOKUP(F17,#REF!,4,0)</f>
        <v>#REF!</v>
      </c>
      <c r="H17" s="20">
        <v>5000</v>
      </c>
      <c r="I17" s="21">
        <v>500000000</v>
      </c>
      <c r="J17" s="22">
        <v>500000000</v>
      </c>
      <c r="K17" s="117"/>
      <c r="L17" s="23">
        <v>43420</v>
      </c>
      <c r="M17" s="23"/>
      <c r="N17" s="23"/>
      <c r="O17" s="23">
        <v>45612</v>
      </c>
      <c r="P17" s="24">
        <v>6.225E-2</v>
      </c>
      <c r="Q17" s="25" t="s">
        <v>633</v>
      </c>
      <c r="R17" s="26" t="s">
        <v>17</v>
      </c>
      <c r="S17" s="26">
        <v>12</v>
      </c>
      <c r="T17" s="27">
        <v>45246</v>
      </c>
      <c r="U17" s="31">
        <v>44881</v>
      </c>
      <c r="V17" s="29">
        <v>3922602.7397260275</v>
      </c>
      <c r="W17" s="30">
        <v>6</v>
      </c>
    </row>
    <row r="18" spans="3:23">
      <c r="C18" s="18" t="s">
        <v>107</v>
      </c>
      <c r="D18" s="19" t="s">
        <v>615</v>
      </c>
      <c r="E18" s="19" t="s">
        <v>632</v>
      </c>
      <c r="F18" s="19" t="s">
        <v>107</v>
      </c>
      <c r="G18" s="19" t="e">
        <f>VLOOKUP(F18,#REF!,4,0)</f>
        <v>#REF!</v>
      </c>
      <c r="H18" s="20">
        <v>20000</v>
      </c>
      <c r="I18" s="21">
        <v>2000000000</v>
      </c>
      <c r="J18" s="22">
        <v>2000000000</v>
      </c>
      <c r="K18" s="117"/>
      <c r="L18" s="23">
        <v>43426</v>
      </c>
      <c r="M18" s="23"/>
      <c r="N18" s="23"/>
      <c r="O18" s="23">
        <v>45618</v>
      </c>
      <c r="P18" s="24">
        <v>6.225E-2</v>
      </c>
      <c r="Q18" s="25" t="s">
        <v>633</v>
      </c>
      <c r="R18" s="26" t="s">
        <v>17</v>
      </c>
      <c r="S18" s="26">
        <v>12</v>
      </c>
      <c r="T18" s="27">
        <v>45252</v>
      </c>
      <c r="U18" s="31">
        <v>44887</v>
      </c>
      <c r="V18" s="29">
        <v>13643835.616438355</v>
      </c>
      <c r="W18" s="30">
        <v>6</v>
      </c>
    </row>
    <row r="19" spans="3:23">
      <c r="C19" s="18" t="s">
        <v>108</v>
      </c>
      <c r="D19" s="19" t="s">
        <v>615</v>
      </c>
      <c r="E19" s="19" t="s">
        <v>632</v>
      </c>
      <c r="F19" s="19" t="s">
        <v>108</v>
      </c>
      <c r="G19" s="19" t="e">
        <f>VLOOKUP(F19,#REF!,4,0)</f>
        <v>#REF!</v>
      </c>
      <c r="H19" s="20">
        <v>40000</v>
      </c>
      <c r="I19" s="21">
        <v>4000000000</v>
      </c>
      <c r="J19" s="22">
        <v>4000000000</v>
      </c>
      <c r="K19" s="117"/>
      <c r="L19" s="23">
        <v>43432</v>
      </c>
      <c r="M19" s="23"/>
      <c r="N19" s="23"/>
      <c r="O19" s="23">
        <v>45624</v>
      </c>
      <c r="P19" s="24">
        <v>6.225E-2</v>
      </c>
      <c r="Q19" s="25" t="s">
        <v>633</v>
      </c>
      <c r="R19" s="26" t="s">
        <v>17</v>
      </c>
      <c r="S19" s="26">
        <v>12</v>
      </c>
      <c r="T19" s="27">
        <v>45258</v>
      </c>
      <c r="U19" s="31">
        <v>44893</v>
      </c>
      <c r="V19" s="29">
        <v>23194520.547945205</v>
      </c>
      <c r="W19" s="30">
        <v>6</v>
      </c>
    </row>
    <row r="20" spans="3:23">
      <c r="C20" s="18" t="s">
        <v>109</v>
      </c>
      <c r="D20" s="19" t="s">
        <v>615</v>
      </c>
      <c r="E20" s="19" t="s">
        <v>632</v>
      </c>
      <c r="F20" s="19" t="s">
        <v>109</v>
      </c>
      <c r="G20" s="19" t="e">
        <f>VLOOKUP(F20,#REF!,4,0)</f>
        <v>#REF!</v>
      </c>
      <c r="H20" s="20">
        <v>15000</v>
      </c>
      <c r="I20" s="21">
        <v>1500000000</v>
      </c>
      <c r="J20" s="22">
        <v>1500000000</v>
      </c>
      <c r="K20" s="117"/>
      <c r="L20" s="23">
        <v>43434</v>
      </c>
      <c r="M20" s="23"/>
      <c r="N20" s="23"/>
      <c r="O20" s="23">
        <v>45626</v>
      </c>
      <c r="P20" s="24">
        <v>6.225E-2</v>
      </c>
      <c r="Q20" s="25" t="s">
        <v>633</v>
      </c>
      <c r="R20" s="26" t="s">
        <v>17</v>
      </c>
      <c r="S20" s="26">
        <v>12</v>
      </c>
      <c r="T20" s="27">
        <v>45260</v>
      </c>
      <c r="U20" s="31">
        <v>44895</v>
      </c>
      <c r="V20" s="29">
        <v>8186301.3698630137</v>
      </c>
      <c r="W20" s="30">
        <v>6</v>
      </c>
    </row>
    <row r="21" spans="3:23">
      <c r="C21" s="18" t="s">
        <v>110</v>
      </c>
      <c r="D21" s="19" t="s">
        <v>615</v>
      </c>
      <c r="E21" s="19" t="s">
        <v>632</v>
      </c>
      <c r="F21" s="19" t="s">
        <v>110</v>
      </c>
      <c r="G21" s="19" t="e">
        <f>VLOOKUP(F21,#REF!,4,0)</f>
        <v>#REF!</v>
      </c>
      <c r="H21" s="20">
        <v>40000</v>
      </c>
      <c r="I21" s="21">
        <v>4000000000</v>
      </c>
      <c r="J21" s="22">
        <v>4000000000</v>
      </c>
      <c r="K21" s="117"/>
      <c r="L21" s="23">
        <v>43440</v>
      </c>
      <c r="M21" s="23"/>
      <c r="N21" s="23"/>
      <c r="O21" s="23">
        <v>45632</v>
      </c>
      <c r="P21" s="24">
        <v>6.225E-2</v>
      </c>
      <c r="Q21" s="25" t="s">
        <v>633</v>
      </c>
      <c r="R21" s="26" t="s">
        <v>17</v>
      </c>
      <c r="S21" s="26">
        <v>12</v>
      </c>
      <c r="T21" s="27">
        <v>45266</v>
      </c>
      <c r="U21" s="31">
        <v>44901</v>
      </c>
      <c r="V21" s="29">
        <v>17736986.301369864</v>
      </c>
      <c r="W21" s="30">
        <v>6</v>
      </c>
    </row>
    <row r="22" spans="3:23">
      <c r="C22" s="18" t="s">
        <v>111</v>
      </c>
      <c r="D22" s="19" t="s">
        <v>615</v>
      </c>
      <c r="E22" s="19" t="s">
        <v>632</v>
      </c>
      <c r="F22" s="19" t="s">
        <v>111</v>
      </c>
      <c r="G22" s="19" t="e">
        <f>VLOOKUP(F22,#REF!,4,0)</f>
        <v>#REF!</v>
      </c>
      <c r="H22" s="20">
        <v>15000</v>
      </c>
      <c r="I22" s="21">
        <v>1500000000</v>
      </c>
      <c r="J22" s="22">
        <v>1500000000</v>
      </c>
      <c r="K22" s="117"/>
      <c r="L22" s="23">
        <v>43452</v>
      </c>
      <c r="M22" s="23"/>
      <c r="N22" s="23"/>
      <c r="O22" s="23">
        <v>45644</v>
      </c>
      <c r="P22" s="24">
        <v>6.225E-2</v>
      </c>
      <c r="Q22" s="25" t="s">
        <v>633</v>
      </c>
      <c r="R22" s="26" t="s">
        <v>17</v>
      </c>
      <c r="S22" s="26">
        <v>12</v>
      </c>
      <c r="T22" s="27">
        <v>45278</v>
      </c>
      <c r="U22" s="31">
        <v>44913</v>
      </c>
      <c r="V22" s="29">
        <v>3581506.8493150687</v>
      </c>
      <c r="W22" s="30">
        <v>6</v>
      </c>
    </row>
    <row r="23" spans="3:23">
      <c r="C23" s="18" t="s">
        <v>112</v>
      </c>
      <c r="D23" s="19" t="s">
        <v>615</v>
      </c>
      <c r="E23" s="19" t="s">
        <v>632</v>
      </c>
      <c r="F23" s="19" t="s">
        <v>112</v>
      </c>
      <c r="G23" s="19" t="e">
        <f>VLOOKUP(F23,#REF!,4,0)</f>
        <v>#REF!</v>
      </c>
      <c r="H23" s="20">
        <v>5000</v>
      </c>
      <c r="I23" s="21">
        <v>500000000</v>
      </c>
      <c r="J23" s="22">
        <v>500000000</v>
      </c>
      <c r="K23" s="117"/>
      <c r="L23" s="23">
        <v>43454</v>
      </c>
      <c r="M23" s="23"/>
      <c r="N23" s="23"/>
      <c r="O23" s="23">
        <v>45646</v>
      </c>
      <c r="P23" s="24">
        <v>6.225E-2</v>
      </c>
      <c r="Q23" s="25" t="s">
        <v>633</v>
      </c>
      <c r="R23" s="26" t="s">
        <v>17</v>
      </c>
      <c r="S23" s="26">
        <v>12</v>
      </c>
      <c r="T23" s="27">
        <v>45280</v>
      </c>
      <c r="U23" s="31">
        <v>44915</v>
      </c>
      <c r="V23" s="29">
        <v>1023287.6712328767</v>
      </c>
      <c r="W23" s="30">
        <v>6</v>
      </c>
    </row>
    <row r="24" spans="3:23">
      <c r="C24" s="18" t="s">
        <v>113</v>
      </c>
      <c r="D24" s="19" t="s">
        <v>615</v>
      </c>
      <c r="E24" s="19" t="s">
        <v>632</v>
      </c>
      <c r="F24" s="19" t="s">
        <v>113</v>
      </c>
      <c r="G24" s="19" t="e">
        <f>VLOOKUP(F24,#REF!,4,0)</f>
        <v>#REF!</v>
      </c>
      <c r="H24" s="20">
        <v>31000</v>
      </c>
      <c r="I24" s="21">
        <v>3100000000</v>
      </c>
      <c r="J24" s="22">
        <v>3100000000</v>
      </c>
      <c r="K24" s="117"/>
      <c r="L24" s="23">
        <v>43462</v>
      </c>
      <c r="M24" s="23"/>
      <c r="N24" s="23"/>
      <c r="O24" s="23">
        <v>45654</v>
      </c>
      <c r="P24" s="24">
        <v>6.225E-2</v>
      </c>
      <c r="Q24" s="25" t="s">
        <v>633</v>
      </c>
      <c r="R24" s="26" t="s">
        <v>17</v>
      </c>
      <c r="S24" s="26">
        <v>12</v>
      </c>
      <c r="T24" s="27">
        <v>45288</v>
      </c>
      <c r="U24" s="31">
        <v>44923</v>
      </c>
      <c r="V24" s="29">
        <v>2114794.5205479451</v>
      </c>
      <c r="W24" s="30">
        <v>6</v>
      </c>
    </row>
    <row r="25" spans="3:23">
      <c r="C25" s="18" t="s">
        <v>114</v>
      </c>
      <c r="D25" s="19" t="s">
        <v>615</v>
      </c>
      <c r="E25" s="19" t="s">
        <v>632</v>
      </c>
      <c r="F25" s="19" t="s">
        <v>114</v>
      </c>
      <c r="G25" s="19" t="e">
        <f>VLOOKUP(F25,#REF!,4,0)</f>
        <v>#REF!</v>
      </c>
      <c r="H25" s="20">
        <v>20000</v>
      </c>
      <c r="I25" s="21">
        <v>2000000000</v>
      </c>
      <c r="J25" s="22">
        <v>2000000000</v>
      </c>
      <c r="K25" s="117"/>
      <c r="L25" s="23">
        <v>43444</v>
      </c>
      <c r="M25" s="23"/>
      <c r="N25" s="23"/>
      <c r="O25" s="23">
        <v>45636</v>
      </c>
      <c r="P25" s="24">
        <v>6.225E-2</v>
      </c>
      <c r="Q25" s="25" t="s">
        <v>633</v>
      </c>
      <c r="R25" s="26" t="s">
        <v>17</v>
      </c>
      <c r="S25" s="26">
        <v>12</v>
      </c>
      <c r="T25" s="27">
        <v>45270</v>
      </c>
      <c r="U25" s="31">
        <v>44905</v>
      </c>
      <c r="V25" s="29">
        <v>7504109.5890410962</v>
      </c>
      <c r="W25" s="30">
        <v>6</v>
      </c>
    </row>
    <row r="26" spans="3:23">
      <c r="C26" s="18" t="s">
        <v>115</v>
      </c>
      <c r="D26" s="19" t="s">
        <v>615</v>
      </c>
      <c r="E26" s="19" t="s">
        <v>632</v>
      </c>
      <c r="F26" s="19" t="s">
        <v>115</v>
      </c>
      <c r="G26" s="19" t="e">
        <f>VLOOKUP(F26,#REF!,4,0)</f>
        <v>#REF!</v>
      </c>
      <c r="H26" s="20">
        <v>5000</v>
      </c>
      <c r="I26" s="21">
        <v>500000000</v>
      </c>
      <c r="J26" s="22">
        <v>500000000</v>
      </c>
      <c r="K26" s="117"/>
      <c r="L26" s="23">
        <v>43430</v>
      </c>
      <c r="M26" s="23"/>
      <c r="N26" s="23"/>
      <c r="O26" s="23">
        <v>45622</v>
      </c>
      <c r="P26" s="24">
        <v>6.225E-2</v>
      </c>
      <c r="Q26" s="25" t="s">
        <v>633</v>
      </c>
      <c r="R26" s="26" t="s">
        <v>17</v>
      </c>
      <c r="S26" s="26">
        <v>12</v>
      </c>
      <c r="T26" s="27">
        <v>45256</v>
      </c>
      <c r="U26" s="31">
        <v>44891</v>
      </c>
      <c r="V26" s="29">
        <v>3069863.01369863</v>
      </c>
      <c r="W26" s="30">
        <v>6</v>
      </c>
    </row>
    <row r="27" spans="3:23">
      <c r="C27" s="18" t="s">
        <v>116</v>
      </c>
      <c r="D27" s="19" t="s">
        <v>615</v>
      </c>
      <c r="E27" s="19" t="s">
        <v>632</v>
      </c>
      <c r="F27" s="19" t="s">
        <v>116</v>
      </c>
      <c r="G27" s="19" t="e">
        <f>VLOOKUP(F27,#REF!,4,0)</f>
        <v>#REF!</v>
      </c>
      <c r="H27" s="20">
        <v>5000</v>
      </c>
      <c r="I27" s="21">
        <v>500000000</v>
      </c>
      <c r="J27" s="22">
        <v>500000000</v>
      </c>
      <c r="K27" s="117"/>
      <c r="L27" s="23">
        <v>43448</v>
      </c>
      <c r="M27" s="23"/>
      <c r="N27" s="23"/>
      <c r="O27" s="23">
        <v>45640</v>
      </c>
      <c r="P27" s="24">
        <v>6.225E-2</v>
      </c>
      <c r="Q27" s="25" t="s">
        <v>633</v>
      </c>
      <c r="R27" s="26" t="s">
        <v>17</v>
      </c>
      <c r="S27" s="26">
        <v>12</v>
      </c>
      <c r="T27" s="27">
        <v>45274</v>
      </c>
      <c r="U27" s="31">
        <v>44909</v>
      </c>
      <c r="V27" s="29">
        <v>1534931.506849315</v>
      </c>
      <c r="W27" s="30">
        <v>6</v>
      </c>
    </row>
    <row r="28" spans="3:23">
      <c r="C28" s="18" t="s">
        <v>117</v>
      </c>
      <c r="D28" s="19" t="s">
        <v>615</v>
      </c>
      <c r="E28" s="19" t="s">
        <v>632</v>
      </c>
      <c r="F28" s="19" t="s">
        <v>117</v>
      </c>
      <c r="G28" s="19" t="e">
        <f>VLOOKUP(F28,#REF!,4,0)</f>
        <v>#REF!</v>
      </c>
      <c r="H28" s="20">
        <v>10000</v>
      </c>
      <c r="I28" s="21">
        <v>1000000000</v>
      </c>
      <c r="J28" s="22">
        <v>1000000000</v>
      </c>
      <c r="K28" s="117"/>
      <c r="L28" s="23">
        <v>43458</v>
      </c>
      <c r="M28" s="23"/>
      <c r="N28" s="23"/>
      <c r="O28" s="23">
        <v>45650</v>
      </c>
      <c r="P28" s="24">
        <v>6.225E-2</v>
      </c>
      <c r="Q28" s="25" t="s">
        <v>633</v>
      </c>
      <c r="R28" s="26" t="s">
        <v>17</v>
      </c>
      <c r="S28" s="26">
        <v>12</v>
      </c>
      <c r="T28" s="27">
        <v>45284</v>
      </c>
      <c r="U28" s="31">
        <v>44919</v>
      </c>
      <c r="V28" s="29">
        <v>1364383.5616438356</v>
      </c>
      <c r="W28" s="30">
        <v>6</v>
      </c>
    </row>
    <row r="29" spans="3:23">
      <c r="C29" s="18" t="s">
        <v>118</v>
      </c>
      <c r="D29" s="19" t="s">
        <v>615</v>
      </c>
      <c r="E29" s="19" t="s">
        <v>262</v>
      </c>
      <c r="F29" s="19" t="s">
        <v>118</v>
      </c>
      <c r="G29" s="19" t="e">
        <f>VLOOKUP(F29,#REF!,4,0)</f>
        <v>#REF!</v>
      </c>
      <c r="H29" s="20">
        <v>100</v>
      </c>
      <c r="I29" s="21">
        <v>100959841877.27846</v>
      </c>
      <c r="J29" s="22">
        <v>100000000000</v>
      </c>
      <c r="K29" s="117"/>
      <c r="L29" s="23">
        <v>44644</v>
      </c>
      <c r="M29" s="23"/>
      <c r="N29" s="23"/>
      <c r="O29" s="23">
        <v>47201</v>
      </c>
      <c r="P29" s="24">
        <v>8.5999999999999993E-2</v>
      </c>
      <c r="Q29" s="25" t="s">
        <v>155</v>
      </c>
      <c r="R29" s="26" t="s">
        <v>17</v>
      </c>
      <c r="S29" s="26">
        <v>12</v>
      </c>
      <c r="T29" s="27">
        <v>45009</v>
      </c>
      <c r="U29" s="31">
        <v>44644</v>
      </c>
      <c r="V29" s="29">
        <v>5550652054.7945204</v>
      </c>
      <c r="W29" s="30">
        <v>7</v>
      </c>
    </row>
    <row r="30" spans="3:23">
      <c r="C30" s="18" t="s">
        <v>119</v>
      </c>
      <c r="D30" s="19" t="s">
        <v>615</v>
      </c>
      <c r="E30" s="19" t="s">
        <v>262</v>
      </c>
      <c r="F30" s="19" t="s">
        <v>119</v>
      </c>
      <c r="G30" s="19" t="e">
        <f>VLOOKUP(F30,#REF!,4,0)</f>
        <v>#REF!</v>
      </c>
      <c r="H30" s="20">
        <v>200</v>
      </c>
      <c r="I30" s="21">
        <v>200000000000</v>
      </c>
      <c r="J30" s="22">
        <v>200000000000</v>
      </c>
      <c r="K30" s="117"/>
      <c r="L30" s="23">
        <v>44656</v>
      </c>
      <c r="M30" s="23"/>
      <c r="N30" s="23"/>
      <c r="O30" s="23">
        <v>47213</v>
      </c>
      <c r="P30" s="24">
        <v>8.5999999999999993E-2</v>
      </c>
      <c r="Q30" s="25" t="s">
        <v>155</v>
      </c>
      <c r="R30" s="26" t="s">
        <v>17</v>
      </c>
      <c r="S30" s="26">
        <v>12</v>
      </c>
      <c r="T30" s="27">
        <v>45021</v>
      </c>
      <c r="U30" s="31">
        <v>44656</v>
      </c>
      <c r="V30" s="29">
        <v>12770410958.90411</v>
      </c>
      <c r="W30" s="30">
        <v>7</v>
      </c>
    </row>
    <row r="31" spans="3:23">
      <c r="C31" s="18" t="s">
        <v>120</v>
      </c>
      <c r="D31" s="19" t="s">
        <v>615</v>
      </c>
      <c r="E31" s="19" t="s">
        <v>262</v>
      </c>
      <c r="F31" s="19" t="s">
        <v>120</v>
      </c>
      <c r="G31" s="19" t="e">
        <f>VLOOKUP(F31,#REF!,4,0)</f>
        <v>#REF!</v>
      </c>
      <c r="H31" s="20">
        <v>100</v>
      </c>
      <c r="I31" s="21">
        <v>100449697564.12941</v>
      </c>
      <c r="J31" s="22">
        <v>100000000000</v>
      </c>
      <c r="K31" s="117"/>
      <c r="L31" s="23">
        <v>44575</v>
      </c>
      <c r="M31" s="23"/>
      <c r="N31" s="23"/>
      <c r="O31" s="23">
        <v>47132</v>
      </c>
      <c r="P31" s="24">
        <v>8.5999999999999993E-2</v>
      </c>
      <c r="Q31" s="25" t="s">
        <v>155</v>
      </c>
      <c r="R31" s="26" t="s">
        <v>17</v>
      </c>
      <c r="S31" s="26">
        <v>12</v>
      </c>
      <c r="T31" s="27">
        <v>44940</v>
      </c>
      <c r="U31" s="31">
        <v>44575</v>
      </c>
      <c r="V31" s="29">
        <v>7842021917.808218</v>
      </c>
      <c r="W31" s="30">
        <v>7</v>
      </c>
    </row>
    <row r="32" spans="3:23">
      <c r="C32" s="18" t="s">
        <v>121</v>
      </c>
      <c r="D32" s="19" t="s">
        <v>615</v>
      </c>
      <c r="E32" s="19" t="s">
        <v>262</v>
      </c>
      <c r="F32" s="19" t="s">
        <v>121</v>
      </c>
      <c r="G32" s="19" t="e">
        <f>VLOOKUP(F32,#REF!,4,0)</f>
        <v>#REF!</v>
      </c>
      <c r="H32" s="20">
        <v>50</v>
      </c>
      <c r="I32" s="21">
        <v>50243684680.081032</v>
      </c>
      <c r="J32" s="22">
        <v>50000000000</v>
      </c>
      <c r="K32" s="117"/>
      <c r="L32" s="23">
        <v>44624</v>
      </c>
      <c r="M32" s="23"/>
      <c r="N32" s="23"/>
      <c r="O32" s="23">
        <v>47181</v>
      </c>
      <c r="P32" s="24">
        <v>8.5999999999999993E-2</v>
      </c>
      <c r="Q32" s="25" t="s">
        <v>155</v>
      </c>
      <c r="R32" s="26" t="s">
        <v>17</v>
      </c>
      <c r="S32" s="26">
        <v>12</v>
      </c>
      <c r="T32" s="27">
        <v>44989</v>
      </c>
      <c r="U32" s="31">
        <v>44624</v>
      </c>
      <c r="V32" s="29">
        <v>3318186301.369863</v>
      </c>
      <c r="W32" s="30">
        <v>7</v>
      </c>
    </row>
    <row r="33" spans="3:23">
      <c r="C33" s="18" t="s">
        <v>25</v>
      </c>
      <c r="D33" s="19" t="s">
        <v>615</v>
      </c>
      <c r="E33" s="19" t="s">
        <v>220</v>
      </c>
      <c r="F33" s="19" t="s">
        <v>25</v>
      </c>
      <c r="G33" s="19" t="e">
        <f>VLOOKUP(F33,#REF!,4,0)</f>
        <v>#REF!</v>
      </c>
      <c r="H33" s="20">
        <v>5000</v>
      </c>
      <c r="I33" s="21">
        <v>50019325543.255814</v>
      </c>
      <c r="J33" s="22">
        <v>50000000000</v>
      </c>
      <c r="K33" s="117"/>
      <c r="L33" s="23">
        <v>44601</v>
      </c>
      <c r="M33" s="23"/>
      <c r="N33" s="23"/>
      <c r="O33" s="23">
        <v>47158</v>
      </c>
      <c r="P33" s="24">
        <v>8.2299999999999998E-2</v>
      </c>
      <c r="Q33" s="25" t="s">
        <v>164</v>
      </c>
      <c r="R33" s="26" t="s">
        <v>17</v>
      </c>
      <c r="S33" s="26">
        <v>12</v>
      </c>
      <c r="T33" s="27">
        <v>44966</v>
      </c>
      <c r="U33" s="31">
        <v>44601</v>
      </c>
      <c r="V33" s="29">
        <v>3635811068.4931507</v>
      </c>
      <c r="W33" s="30">
        <v>7</v>
      </c>
    </row>
    <row r="34" spans="3:23">
      <c r="C34" s="18" t="s">
        <v>26</v>
      </c>
      <c r="D34" s="19" t="s">
        <v>615</v>
      </c>
      <c r="E34" s="52" t="s">
        <v>220</v>
      </c>
      <c r="F34" s="19" t="s">
        <v>26</v>
      </c>
      <c r="G34" s="19" t="e">
        <f>VLOOKUP(F34,#REF!,4,0)</f>
        <v>#REF!</v>
      </c>
      <c r="H34" s="20">
        <v>5000</v>
      </c>
      <c r="I34" s="21">
        <v>50169327946.880341</v>
      </c>
      <c r="J34" s="22">
        <v>50000000000</v>
      </c>
      <c r="K34" s="117"/>
      <c r="L34" s="23">
        <v>44610</v>
      </c>
      <c r="M34" s="23"/>
      <c r="N34" s="23"/>
      <c r="O34" s="23">
        <v>47167</v>
      </c>
      <c r="P34" s="24">
        <v>8.2299999999999998E-2</v>
      </c>
      <c r="Q34" s="25" t="s">
        <v>164</v>
      </c>
      <c r="R34" s="26" t="s">
        <v>17</v>
      </c>
      <c r="S34" s="26">
        <v>12</v>
      </c>
      <c r="T34" s="27">
        <v>44975</v>
      </c>
      <c r="U34" s="31">
        <v>44610</v>
      </c>
      <c r="V34" s="29">
        <v>3392203068.4931502</v>
      </c>
      <c r="W34" s="30">
        <v>7</v>
      </c>
    </row>
    <row r="35" spans="3:23">
      <c r="C35" s="18" t="s">
        <v>21</v>
      </c>
      <c r="D35" s="19" t="s">
        <v>614</v>
      </c>
      <c r="E35" s="19" t="s">
        <v>263</v>
      </c>
      <c r="F35" s="19" t="s">
        <v>21</v>
      </c>
      <c r="G35" s="19" t="e">
        <f>VLOOKUP(F35,#REF!,4,0)</f>
        <v>#REF!</v>
      </c>
      <c r="H35" s="20">
        <v>50000</v>
      </c>
      <c r="I35" s="21">
        <v>5169650000</v>
      </c>
      <c r="J35" s="22">
        <v>5000000000</v>
      </c>
      <c r="K35" s="117"/>
      <c r="L35" s="23">
        <v>44697</v>
      </c>
      <c r="M35" s="72"/>
      <c r="N35" s="72"/>
      <c r="O35" s="44">
        <v>46158</v>
      </c>
      <c r="P35" s="53">
        <v>0.1</v>
      </c>
      <c r="Q35" s="25"/>
      <c r="R35" s="26" t="s">
        <v>22</v>
      </c>
      <c r="S35" s="26">
        <v>3</v>
      </c>
      <c r="T35" s="27">
        <v>45062</v>
      </c>
      <c r="U35" s="54">
        <v>44881</v>
      </c>
      <c r="V35" s="29">
        <v>110958904.10958904</v>
      </c>
      <c r="W35" s="30">
        <v>16</v>
      </c>
    </row>
    <row r="36" spans="3:23" ht="15" thickBot="1">
      <c r="C36" s="55" t="s">
        <v>122</v>
      </c>
      <c r="D36" s="56" t="s">
        <v>614</v>
      </c>
      <c r="E36" s="56" t="s">
        <v>217</v>
      </c>
      <c r="F36" s="56" t="s">
        <v>122</v>
      </c>
      <c r="G36" s="19" t="e">
        <f>VLOOKUP(F36,#REF!,4,0)</f>
        <v>#REF!</v>
      </c>
      <c r="H36" s="57">
        <v>728150</v>
      </c>
      <c r="I36" s="58">
        <v>72885641450</v>
      </c>
      <c r="J36" s="59">
        <v>72815000000</v>
      </c>
      <c r="K36" s="120"/>
      <c r="L36" s="60">
        <v>44266</v>
      </c>
      <c r="M36" s="116"/>
      <c r="N36" s="116"/>
      <c r="O36" s="61">
        <v>45362</v>
      </c>
      <c r="P36" s="62">
        <v>0.11575000000000001</v>
      </c>
      <c r="Q36" s="63"/>
      <c r="R36" s="64" t="s">
        <v>22</v>
      </c>
      <c r="S36" s="64">
        <v>3</v>
      </c>
      <c r="T36" s="65">
        <v>44996</v>
      </c>
      <c r="U36" s="66">
        <v>44877</v>
      </c>
      <c r="V36" s="67">
        <v>418226769.86301368</v>
      </c>
      <c r="W36" s="68">
        <v>12</v>
      </c>
    </row>
    <row r="37" spans="3:23">
      <c r="C37" s="69" t="s">
        <v>123</v>
      </c>
      <c r="D37" s="70" t="s">
        <v>366</v>
      </c>
      <c r="E37" s="69" t="s">
        <v>214</v>
      </c>
      <c r="F37" s="69" t="s">
        <v>123</v>
      </c>
      <c r="G37" s="69"/>
      <c r="H37" s="69">
        <v>1</v>
      </c>
      <c r="I37" s="69">
        <v>46800082140</v>
      </c>
      <c r="J37" s="69">
        <v>42000000000</v>
      </c>
      <c r="K37" s="69"/>
      <c r="L37" s="71">
        <v>44410</v>
      </c>
      <c r="M37" s="71"/>
      <c r="N37" s="71"/>
      <c r="O37" s="72">
        <v>44959</v>
      </c>
      <c r="P37" s="73">
        <v>8.1000000000000003E-2</v>
      </c>
      <c r="Q37" s="24" t="s">
        <v>155</v>
      </c>
      <c r="R37" s="69" t="s">
        <v>161</v>
      </c>
      <c r="S37" s="69">
        <v>18</v>
      </c>
      <c r="T37" s="72">
        <v>44959</v>
      </c>
      <c r="U37" s="72">
        <v>44925</v>
      </c>
      <c r="V37" s="69">
        <v>4818723287.6712332</v>
      </c>
      <c r="W37" s="69">
        <v>1</v>
      </c>
    </row>
    <row r="38" spans="3:23">
      <c r="C38" s="69" t="s">
        <v>124</v>
      </c>
      <c r="D38" s="70" t="s">
        <v>366</v>
      </c>
      <c r="E38" s="69" t="s">
        <v>634</v>
      </c>
      <c r="F38" s="69" t="s">
        <v>124</v>
      </c>
      <c r="G38" s="69"/>
      <c r="H38" s="69">
        <v>100</v>
      </c>
      <c r="I38" s="69">
        <v>10903013700</v>
      </c>
      <c r="J38" s="69">
        <v>10000000000</v>
      </c>
      <c r="K38" s="69"/>
      <c r="L38" s="71">
        <v>44433</v>
      </c>
      <c r="M38" s="71"/>
      <c r="N38" s="71"/>
      <c r="O38" s="72">
        <v>44984</v>
      </c>
      <c r="P38" s="73">
        <v>0.08</v>
      </c>
      <c r="Q38" s="24" t="s">
        <v>155</v>
      </c>
      <c r="R38" s="69" t="s">
        <v>161</v>
      </c>
      <c r="S38" s="69">
        <v>6</v>
      </c>
      <c r="T38" s="72">
        <v>44984</v>
      </c>
      <c r="U38" s="72">
        <v>44845</v>
      </c>
      <c r="V38" s="69">
        <v>179726027.39726028</v>
      </c>
      <c r="W38" s="69">
        <v>1</v>
      </c>
    </row>
    <row r="39" spans="3:23">
      <c r="C39" s="69" t="s">
        <v>125</v>
      </c>
      <c r="D39" s="70" t="s">
        <v>366</v>
      </c>
      <c r="E39" s="69" t="s">
        <v>634</v>
      </c>
      <c r="F39" s="69" t="s">
        <v>125</v>
      </c>
      <c r="G39" s="69"/>
      <c r="H39" s="69">
        <v>200</v>
      </c>
      <c r="I39" s="69">
        <v>21398082200</v>
      </c>
      <c r="J39" s="69">
        <v>20000000000</v>
      </c>
      <c r="K39" s="69"/>
      <c r="L39" s="71">
        <v>44530</v>
      </c>
      <c r="M39" s="71"/>
      <c r="N39" s="71"/>
      <c r="O39" s="72">
        <v>44985</v>
      </c>
      <c r="P39" s="73">
        <v>8.1000000000000003E-2</v>
      </c>
      <c r="Q39" s="24" t="s">
        <v>155</v>
      </c>
      <c r="R39" s="69" t="s">
        <v>161</v>
      </c>
      <c r="S39" s="69">
        <v>6</v>
      </c>
      <c r="T39" s="72">
        <v>44985</v>
      </c>
      <c r="U39" s="72">
        <v>44845</v>
      </c>
      <c r="V39" s="69">
        <v>363945205.47945207</v>
      </c>
      <c r="W39" s="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DE10-C86E-4059-B590-CB8289365316}">
  <sheetPr codeName="Sheet9"/>
  <dimension ref="A1:E28"/>
  <sheetViews>
    <sheetView workbookViewId="0">
      <selection activeCell="G2" sqref="G2"/>
    </sheetView>
  </sheetViews>
  <sheetFormatPr defaultRowHeight="14.5"/>
  <cols>
    <col min="2" max="2" width="23" customWidth="1"/>
    <col min="3" max="3" width="23.54296875" customWidth="1"/>
    <col min="4" max="4" width="16.54296875" bestFit="1" customWidth="1"/>
  </cols>
  <sheetData>
    <row r="1" spans="1:5">
      <c r="A1" s="192" t="s">
        <v>71</v>
      </c>
      <c r="B1" s="193" t="s">
        <v>0</v>
      </c>
      <c r="C1" s="193" t="s">
        <v>1</v>
      </c>
      <c r="D1" s="193" t="s">
        <v>2</v>
      </c>
      <c r="E1" s="257" t="s">
        <v>635</v>
      </c>
    </row>
    <row r="2" spans="1:5">
      <c r="A2" s="134" t="s">
        <v>83</v>
      </c>
      <c r="B2" s="121" t="s">
        <v>13</v>
      </c>
      <c r="C2" s="3" t="s">
        <v>13</v>
      </c>
      <c r="D2" s="3" t="s">
        <v>14</v>
      </c>
      <c r="E2" s="258">
        <f>VLOOKUP(C2,'Amortised cost 31.12.2023'!C:DR,120,0)</f>
        <v>0.10763879418373107</v>
      </c>
    </row>
    <row r="3" spans="1:5">
      <c r="A3" s="134" t="s">
        <v>83</v>
      </c>
      <c r="B3" s="121" t="s">
        <v>16</v>
      </c>
      <c r="C3" s="3" t="s">
        <v>16</v>
      </c>
      <c r="D3" s="3" t="s">
        <v>14</v>
      </c>
      <c r="E3" s="258">
        <f>VLOOKUP(C3,'Amortised cost 31.12.2023'!C:DR,120,0)</f>
        <v>9.1481932997703547E-2</v>
      </c>
    </row>
    <row r="4" spans="1:5">
      <c r="A4" s="134" t="s">
        <v>83</v>
      </c>
      <c r="B4" s="121" t="s">
        <v>18</v>
      </c>
      <c r="C4" s="3" t="s">
        <v>18</v>
      </c>
      <c r="D4" s="3" t="s">
        <v>14</v>
      </c>
      <c r="E4" s="258">
        <f>VLOOKUP(C4,'Amortised cost 31.12.2023'!C:DR,120,0)</f>
        <v>5.6112995743751545E-2</v>
      </c>
    </row>
    <row r="5" spans="1:5">
      <c r="A5" s="134" t="s">
        <v>83</v>
      </c>
      <c r="B5" s="121" t="s">
        <v>19</v>
      </c>
      <c r="C5" s="3" t="s">
        <v>19</v>
      </c>
      <c r="D5" s="3" t="s">
        <v>14</v>
      </c>
      <c r="E5" s="258">
        <f>VLOOKUP(C5,'Amortised cost 31.12.2023'!C:DR,120,0)</f>
        <v>7.4409827589988722E-2</v>
      </c>
    </row>
    <row r="6" spans="1:5">
      <c r="A6" s="134" t="s">
        <v>83</v>
      </c>
      <c r="B6" s="121" t="s">
        <v>20</v>
      </c>
      <c r="C6" s="3" t="s">
        <v>20</v>
      </c>
      <c r="D6" s="3" t="s">
        <v>14</v>
      </c>
      <c r="E6" s="258">
        <f>VLOOKUP(C6,'Amortised cost 31.12.2023'!C:DR,120,0)</f>
        <v>8.9954796433448822E-2</v>
      </c>
    </row>
    <row r="7" spans="1:5">
      <c r="A7" s="134" t="s">
        <v>83</v>
      </c>
      <c r="B7" s="121" t="s">
        <v>21</v>
      </c>
      <c r="C7" s="3" t="s">
        <v>21</v>
      </c>
      <c r="D7" s="3" t="s">
        <v>14</v>
      </c>
      <c r="E7" s="258">
        <f>VLOOKUP(C7,'Amortised cost 31.12.2023'!C:DR,120,0)</f>
        <v>8.9339408278465288E-2</v>
      </c>
    </row>
    <row r="8" spans="1:5">
      <c r="A8" s="134" t="s">
        <v>83</v>
      </c>
      <c r="B8" s="121" t="s">
        <v>23</v>
      </c>
      <c r="C8" s="3" t="s">
        <v>23</v>
      </c>
      <c r="D8" s="3" t="s">
        <v>14</v>
      </c>
      <c r="E8" s="258">
        <f>VLOOKUP(C8,'Amortised cost 31.12.2023'!C:DR,120,0)</f>
        <v>0.10914456248283386</v>
      </c>
    </row>
    <row r="9" spans="1:5">
      <c r="A9" s="134" t="s">
        <v>83</v>
      </c>
      <c r="B9" s="121" t="s">
        <v>24</v>
      </c>
      <c r="C9" s="3" t="s">
        <v>24</v>
      </c>
      <c r="D9" s="3" t="s">
        <v>14</v>
      </c>
      <c r="E9" s="258">
        <f>VLOOKUP(C9,'Amortised cost 31.12.2023'!C:DR,120,0)</f>
        <v>6.6013947129249573E-2</v>
      </c>
    </row>
    <row r="10" spans="1:5">
      <c r="A10" s="134" t="s">
        <v>83</v>
      </c>
      <c r="B10" s="121" t="s">
        <v>25</v>
      </c>
      <c r="C10" s="3" t="s">
        <v>25</v>
      </c>
      <c r="D10" s="3" t="s">
        <v>14</v>
      </c>
      <c r="E10" s="259">
        <f>VLOOKUP(C10,'Amortised cost 31.12.2023'!C:DR,120,0)</f>
        <v>7.6356157660484328E-2</v>
      </c>
    </row>
    <row r="11" spans="1:5">
      <c r="A11" s="134" t="s">
        <v>83</v>
      </c>
      <c r="B11" s="121" t="s">
        <v>26</v>
      </c>
      <c r="C11" s="3" t="s">
        <v>26</v>
      </c>
      <c r="D11" s="3" t="s">
        <v>14</v>
      </c>
      <c r="E11" s="259">
        <f>VLOOKUP(C11,'Amortised cost 31.12.2023'!C:DR,120,0)</f>
        <v>8.0348595976829529E-2</v>
      </c>
    </row>
    <row r="12" spans="1:5">
      <c r="A12" s="134" t="s">
        <v>83</v>
      </c>
      <c r="B12" s="121" t="s">
        <v>27</v>
      </c>
      <c r="C12" s="3" t="s">
        <v>27</v>
      </c>
      <c r="D12" s="3" t="s">
        <v>92</v>
      </c>
      <c r="E12" s="258">
        <f>VLOOKUP(C12,'Amortised cost 31.12.2023'!C:DR,120,0)</f>
        <v>6.9955107569694502E-2</v>
      </c>
    </row>
    <row r="13" spans="1:5">
      <c r="A13" s="134" t="s">
        <v>83</v>
      </c>
      <c r="B13" s="121" t="s">
        <v>29</v>
      </c>
      <c r="C13" s="3" t="s">
        <v>29</v>
      </c>
      <c r="D13" s="3" t="s">
        <v>92</v>
      </c>
      <c r="E13" s="258">
        <f>VLOOKUP(C13,'Amortised cost 31.12.2023'!C:DR,120,0)</f>
        <v>6.9950136542320254E-2</v>
      </c>
    </row>
    <row r="14" spans="1:5">
      <c r="A14" s="134" t="s">
        <v>87</v>
      </c>
      <c r="B14" s="3" t="s">
        <v>94</v>
      </c>
      <c r="C14" s="3" t="s">
        <v>94</v>
      </c>
      <c r="D14" s="3" t="s">
        <v>92</v>
      </c>
      <c r="E14" s="258">
        <f>VLOOKUP(C14,'Amortised cost 31.12.2023'!C:DR,120,0)</f>
        <v>7.0895752310752874E-2</v>
      </c>
    </row>
    <row r="15" spans="1:5">
      <c r="A15" s="134" t="s">
        <v>87</v>
      </c>
      <c r="B15" s="121" t="s">
        <v>27</v>
      </c>
      <c r="C15" s="3" t="s">
        <v>27</v>
      </c>
      <c r="D15" s="3" t="s">
        <v>14</v>
      </c>
      <c r="E15" s="258">
        <f>VLOOKUP(C15,'Amortised cost 31.12.2023'!C:DR,120,0)</f>
        <v>6.9955107569694502E-2</v>
      </c>
    </row>
    <row r="16" spans="1:5">
      <c r="A16" s="134" t="s">
        <v>87</v>
      </c>
      <c r="B16" s="121" t="s">
        <v>88</v>
      </c>
      <c r="C16" s="3" t="s">
        <v>90</v>
      </c>
      <c r="D16" s="3" t="s">
        <v>14</v>
      </c>
      <c r="E16" s="258">
        <f>VLOOKUP(C16,'Amortised cost 31.12.2023'!C:DR,120,0)</f>
        <v>0.10118160843849183</v>
      </c>
    </row>
    <row r="17" spans="1:5">
      <c r="A17" s="134" t="s">
        <v>83</v>
      </c>
      <c r="B17" s="121" t="s">
        <v>30</v>
      </c>
      <c r="C17" s="121" t="s">
        <v>30</v>
      </c>
      <c r="D17" s="3" t="s">
        <v>31</v>
      </c>
      <c r="E17" s="258">
        <f>VLOOKUP(C17,'Amortised cost 31.12.2023'!C:DR,120,0)</f>
        <v>0.10729460120201112</v>
      </c>
    </row>
    <row r="18" spans="1:5">
      <c r="A18" s="134" t="s">
        <v>83</v>
      </c>
      <c r="B18" s="121" t="s">
        <v>32</v>
      </c>
      <c r="C18" s="121" t="s">
        <v>32</v>
      </c>
      <c r="D18" s="3" t="s">
        <v>31</v>
      </c>
      <c r="E18" s="258">
        <f>VLOOKUP(C18,'Amortised cost 31.12.2023'!C:DR,120,0)</f>
        <v>0.11137236952781676</v>
      </c>
    </row>
    <row r="19" spans="1:5">
      <c r="A19" s="134" t="s">
        <v>83</v>
      </c>
      <c r="B19" s="121" t="s">
        <v>33</v>
      </c>
      <c r="C19" s="121" t="s">
        <v>33</v>
      </c>
      <c r="D19" s="3" t="s">
        <v>31</v>
      </c>
      <c r="E19" s="258">
        <f>VLOOKUP(C19,'Amortised cost 31.12.2023'!C:DR,120,0)</f>
        <v>0.11137112975120542</v>
      </c>
    </row>
    <row r="20" spans="1:5">
      <c r="A20" s="134" t="s">
        <v>83</v>
      </c>
      <c r="B20" s="121" t="s">
        <v>34</v>
      </c>
      <c r="C20" s="121" t="s">
        <v>34</v>
      </c>
      <c r="D20" s="3" t="s">
        <v>31</v>
      </c>
      <c r="E20" s="258">
        <f>VLOOKUP(C20,'Amortised cost 31.12.2023'!C:DR,120,0)</f>
        <v>0.10097295641899109</v>
      </c>
    </row>
    <row r="21" spans="1:5">
      <c r="A21" s="134" t="s">
        <v>83</v>
      </c>
      <c r="B21" s="121" t="s">
        <v>35</v>
      </c>
      <c r="C21" s="121" t="s">
        <v>35</v>
      </c>
      <c r="D21" s="3" t="s">
        <v>31</v>
      </c>
      <c r="E21" s="258">
        <f>VLOOKUP(C21,'Amortised cost 31.12.2023'!C:DR,120,0)</f>
        <v>0.10095943808555605</v>
      </c>
    </row>
    <row r="22" spans="1:5">
      <c r="A22" s="134" t="s">
        <v>83</v>
      </c>
      <c r="B22" s="121" t="s">
        <v>36</v>
      </c>
      <c r="C22" s="121" t="s">
        <v>36</v>
      </c>
      <c r="D22" s="3" t="s">
        <v>31</v>
      </c>
      <c r="E22" s="258">
        <f>VLOOKUP(C22,'Amortised cost 31.12.2023'!C:DR,120,0)</f>
        <v>0.11312702298164368</v>
      </c>
    </row>
    <row r="23" spans="1:5">
      <c r="A23" s="134" t="s">
        <v>83</v>
      </c>
      <c r="B23" s="121" t="s">
        <v>85</v>
      </c>
      <c r="C23" s="121" t="s">
        <v>37</v>
      </c>
      <c r="D23" s="3" t="s">
        <v>31</v>
      </c>
      <c r="E23" s="258">
        <f>VLOOKUP(C23,'Amortised cost 31.12.2023'!C:DR,120,0)</f>
        <v>7.8669562935829176E-2</v>
      </c>
    </row>
    <row r="24" spans="1:5">
      <c r="A24" s="134" t="s">
        <v>83</v>
      </c>
      <c r="B24" s="121" t="s">
        <v>38</v>
      </c>
      <c r="C24" s="121" t="s">
        <v>38</v>
      </c>
      <c r="D24" s="3" t="s">
        <v>31</v>
      </c>
      <c r="E24" s="258">
        <f>VLOOKUP(C24,'Amortised cost 31.12.2023'!C:DR,120,0)</f>
        <v>0.10799999833106994</v>
      </c>
    </row>
    <row r="25" spans="1:5">
      <c r="A25" s="134" t="s">
        <v>83</v>
      </c>
      <c r="B25" s="121" t="s">
        <v>39</v>
      </c>
      <c r="C25" s="121" t="s">
        <v>39</v>
      </c>
      <c r="D25" s="3" t="s">
        <v>31</v>
      </c>
      <c r="E25" s="258">
        <f>VLOOKUP(C25,'Amortised cost 31.12.2023'!C:DR,120,0)</f>
        <v>0.10799999833106994</v>
      </c>
    </row>
    <row r="26" spans="1:5">
      <c r="A26" s="134" t="s">
        <v>87</v>
      </c>
      <c r="B26" s="121" t="s">
        <v>93</v>
      </c>
      <c r="C26" s="121" t="s">
        <v>93</v>
      </c>
      <c r="D26" s="143" t="s">
        <v>31</v>
      </c>
      <c r="E26" s="258">
        <f>VLOOKUP(C26,'Amortised cost 31.12.2023'!C:DR,120,0)</f>
        <v>0.10692381262779235</v>
      </c>
    </row>
    <row r="27" spans="1:5">
      <c r="A27" s="134" t="s">
        <v>87</v>
      </c>
      <c r="B27" s="121" t="s">
        <v>97</v>
      </c>
      <c r="C27" s="121" t="s">
        <v>97</v>
      </c>
      <c r="D27" s="143" t="s">
        <v>31</v>
      </c>
      <c r="E27" s="258">
        <f>VLOOKUP(C27,'Amortised cost 31.12.2023'!C:DR,120,0)</f>
        <v>0.10702046751976013</v>
      </c>
    </row>
    <row r="28" spans="1:5" ht="15" thickBot="1">
      <c r="A28" s="144" t="s">
        <v>87</v>
      </c>
      <c r="B28" s="145" t="s">
        <v>95</v>
      </c>
      <c r="C28" s="145" t="s">
        <v>95</v>
      </c>
      <c r="D28" s="146" t="s">
        <v>31</v>
      </c>
      <c r="E28" s="260">
        <f>VLOOKUP(C28,'Amortised cost 31.12.2023'!C:DR,120,0)</f>
        <v>7.6402303576469419E-2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7F94-4B97-455E-892C-6AAEB908F93E}">
  <sheetPr codeName="Sheet11"/>
  <dimension ref="A1:O37"/>
  <sheetViews>
    <sheetView workbookViewId="0">
      <selection activeCell="S15" sqref="S15"/>
    </sheetView>
  </sheetViews>
  <sheetFormatPr defaultRowHeight="14.5"/>
  <cols>
    <col min="1" max="1" width="12.453125" style="188" bestFit="1" customWidth="1"/>
    <col min="4" max="5" width="12.1796875" bestFit="1" customWidth="1"/>
    <col min="6" max="6" width="15.54296875" bestFit="1" customWidth="1"/>
    <col min="7" max="7" width="8.81640625" bestFit="1" customWidth="1"/>
    <col min="8" max="8" width="13.54296875" bestFit="1" customWidth="1"/>
    <col min="9" max="9" width="13.54296875" customWidth="1"/>
    <col min="10" max="10" width="14" bestFit="1" customWidth="1"/>
    <col min="11" max="11" width="9.1796875" bestFit="1" customWidth="1"/>
    <col min="12" max="12" width="12.7265625" customWidth="1"/>
    <col min="13" max="13" width="9.1796875" style="12" customWidth="1"/>
    <col min="14" max="14" width="17.1796875" bestFit="1" customWidth="1"/>
  </cols>
  <sheetData>
    <row r="1" spans="1:15">
      <c r="N1" s="13">
        <v>45291</v>
      </c>
    </row>
    <row r="2" spans="1:15">
      <c r="B2" s="77" t="s">
        <v>137</v>
      </c>
      <c r="C2" s="77" t="s">
        <v>175</v>
      </c>
      <c r="D2" s="77" t="s">
        <v>0</v>
      </c>
      <c r="E2" s="77" t="s">
        <v>176</v>
      </c>
      <c r="F2" s="79" t="s">
        <v>636</v>
      </c>
      <c r="G2" s="77" t="s">
        <v>178</v>
      </c>
      <c r="H2" s="77" t="s">
        <v>179</v>
      </c>
      <c r="I2" s="78" t="s">
        <v>637</v>
      </c>
      <c r="J2" s="78" t="s">
        <v>180</v>
      </c>
      <c r="K2" s="79" t="s">
        <v>181</v>
      </c>
      <c r="L2" s="79" t="s">
        <v>182</v>
      </c>
      <c r="M2" s="218" t="s">
        <v>7</v>
      </c>
      <c r="N2" s="79" t="s">
        <v>12</v>
      </c>
    </row>
    <row r="3" spans="1:15">
      <c r="A3" s="189" t="s">
        <v>13</v>
      </c>
      <c r="B3" s="82">
        <v>45215</v>
      </c>
      <c r="C3" s="83"/>
      <c r="D3" s="83" t="s">
        <v>13</v>
      </c>
      <c r="E3" s="83" t="s">
        <v>13</v>
      </c>
      <c r="F3" s="106">
        <v>-3750000000</v>
      </c>
      <c r="G3" s="106">
        <v>-37500</v>
      </c>
      <c r="H3" s="106">
        <v>-3750000000</v>
      </c>
      <c r="I3" s="221">
        <f>VLOOKUP(A3,'Amortised cost 31.12.2023'!B:O,14,0)</f>
        <v>45214</v>
      </c>
      <c r="J3" s="110">
        <v>12500000000</v>
      </c>
      <c r="K3" s="110">
        <v>125000</v>
      </c>
      <c r="L3" s="110">
        <v>100000</v>
      </c>
      <c r="M3" s="219">
        <f>VLOOKUP(A3,'Amortised cost 31.12.2023'!B:I,8,0)</f>
        <v>0.105</v>
      </c>
      <c r="N3" s="220">
        <f>F3*M3*($N$1-MAX(B3,I3)+1)/365</f>
        <v>-83065068.493150681</v>
      </c>
    </row>
    <row r="4" spans="1:15">
      <c r="A4" s="189" t="s">
        <v>13</v>
      </c>
      <c r="B4" s="82">
        <v>45033</v>
      </c>
      <c r="C4" s="98"/>
      <c r="D4" s="99" t="s">
        <v>13</v>
      </c>
      <c r="E4" s="99" t="s">
        <v>13</v>
      </c>
      <c r="F4" s="110">
        <v>-3750000000</v>
      </c>
      <c r="G4" s="110">
        <v>-37500</v>
      </c>
      <c r="H4" s="114">
        <v>-3750000000</v>
      </c>
      <c r="I4" s="221">
        <f>VLOOKUP(A4,'Amortised cost 31.12.2023'!B:O,14,0)</f>
        <v>45214</v>
      </c>
      <c r="J4" s="110">
        <v>16250000000</v>
      </c>
      <c r="K4" s="110">
        <v>162500</v>
      </c>
      <c r="L4" s="110">
        <v>100000</v>
      </c>
      <c r="M4" s="219">
        <f>VLOOKUP(A4,'Amortised cost 31.12.2023'!B:I,8,0)</f>
        <v>0.105</v>
      </c>
      <c r="N4" s="220"/>
    </row>
    <row r="5" spans="1:15">
      <c r="A5" s="189" t="s">
        <v>23</v>
      </c>
      <c r="B5" s="82">
        <v>45117</v>
      </c>
      <c r="C5" s="83"/>
      <c r="D5" s="83" t="s">
        <v>23</v>
      </c>
      <c r="E5" s="83" t="s">
        <v>23</v>
      </c>
      <c r="F5" s="106">
        <v>-3000000000</v>
      </c>
      <c r="G5" s="84">
        <v>-30000</v>
      </c>
      <c r="H5" s="106">
        <v>-3183246575</v>
      </c>
      <c r="I5" s="221">
        <f>VLOOKUP(A5,'Amortised cost 31.12.2023'!B:O,14,0)</f>
        <v>45207</v>
      </c>
      <c r="J5" s="110">
        <v>4000000000</v>
      </c>
      <c r="K5" s="85">
        <v>40000</v>
      </c>
      <c r="L5" s="110">
        <v>100000</v>
      </c>
      <c r="M5" s="219">
        <f>VLOOKUP(A5,'Amortised cost 31.12.2023'!B:I,8,0)</f>
        <v>0.105</v>
      </c>
      <c r="N5" s="110"/>
      <c r="O5" s="85"/>
    </row>
    <row r="6" spans="1:15">
      <c r="A6" s="189" t="s">
        <v>23</v>
      </c>
      <c r="B6" s="82">
        <v>45026</v>
      </c>
      <c r="C6" s="98"/>
      <c r="D6" s="99" t="s">
        <v>23</v>
      </c>
      <c r="E6" s="99" t="s">
        <v>23</v>
      </c>
      <c r="F6" s="110">
        <v>-3000000000</v>
      </c>
      <c r="G6" s="85">
        <v>-30000</v>
      </c>
      <c r="H6" s="110">
        <v>-3000000000</v>
      </c>
      <c r="I6" s="221">
        <f>VLOOKUP(A6,'Amortised cost 31.12.2023'!B:O,14,0)</f>
        <v>45207</v>
      </c>
      <c r="J6" s="110">
        <v>7000000000</v>
      </c>
      <c r="K6" s="85">
        <v>70000</v>
      </c>
      <c r="L6" s="110">
        <v>100000</v>
      </c>
      <c r="M6" s="219">
        <f>VLOOKUP(A6,'Amortised cost 31.12.2023'!B:I,8,0)</f>
        <v>0.105</v>
      </c>
    </row>
    <row r="7" spans="1:15">
      <c r="A7" s="189" t="s">
        <v>18</v>
      </c>
      <c r="B7" s="82">
        <v>45239</v>
      </c>
      <c r="C7" s="83"/>
      <c r="D7" s="83" t="s">
        <v>18</v>
      </c>
      <c r="E7" s="83" t="s">
        <v>18</v>
      </c>
      <c r="F7" s="106">
        <v>-50000000000</v>
      </c>
      <c r="G7" s="84">
        <v>-5000</v>
      </c>
      <c r="H7" s="106">
        <v>-49366440000</v>
      </c>
      <c r="I7" s="221">
        <f>VLOOKUP(A7,'Amortised cost 31.12.2023'!B:O,14,0)</f>
        <v>45179</v>
      </c>
      <c r="J7" s="110">
        <v>20000000000</v>
      </c>
      <c r="K7" s="85">
        <v>2000</v>
      </c>
      <c r="L7" s="110">
        <v>10000000</v>
      </c>
      <c r="M7" s="219">
        <f>VLOOKUP(A7,'Amortised cost 31.12.2023'!B:I,8,0)</f>
        <v>7.4999999999999997E-2</v>
      </c>
      <c r="N7" s="220">
        <f>F7*M7*($N$1-MAX(B8,I7)+1)/365</f>
        <v>-1160958904.1095891</v>
      </c>
    </row>
    <row r="8" spans="1:15">
      <c r="A8" s="189" t="s">
        <v>18</v>
      </c>
      <c r="B8" s="82">
        <v>45042</v>
      </c>
      <c r="C8" s="100"/>
      <c r="D8" s="83" t="s">
        <v>18</v>
      </c>
      <c r="E8" s="99" t="s">
        <v>18</v>
      </c>
      <c r="F8" s="110">
        <v>50000000000</v>
      </c>
      <c r="G8" s="85">
        <v>5000</v>
      </c>
      <c r="H8" s="114">
        <v>50868580000</v>
      </c>
      <c r="I8" s="221">
        <f>VLOOKUP(A8,'Amortised cost 31.12.2023'!B:O,14,0)</f>
        <v>45179</v>
      </c>
      <c r="J8" s="110">
        <v>70868580000</v>
      </c>
      <c r="K8" s="85">
        <v>7000</v>
      </c>
      <c r="L8" s="110">
        <v>10124082.857142856</v>
      </c>
      <c r="M8" s="219">
        <f>VLOOKUP(A8,'Amortised cost 31.12.2023'!B:I,8,0)</f>
        <v>7.4999999999999997E-2</v>
      </c>
      <c r="N8" s="220">
        <f>F8*M8*($N$1-MAX(B8,I8)+1)/365</f>
        <v>1160958904.1095891</v>
      </c>
    </row>
    <row r="9" spans="1:15">
      <c r="A9" s="189" t="s">
        <v>18</v>
      </c>
      <c r="B9" s="82">
        <v>44927</v>
      </c>
      <c r="C9" s="100"/>
      <c r="D9" s="83" t="s">
        <v>18</v>
      </c>
      <c r="E9" s="99" t="s">
        <v>18</v>
      </c>
      <c r="F9" s="110"/>
      <c r="G9" s="85">
        <v>2000</v>
      </c>
      <c r="H9" s="114">
        <v>20000000000</v>
      </c>
      <c r="I9" s="221">
        <f>VLOOKUP(A9,'Amortised cost 31.12.2023'!B:O,14,0)</f>
        <v>45179</v>
      </c>
      <c r="J9" s="114">
        <v>20000000000</v>
      </c>
      <c r="K9" s="85">
        <v>2000</v>
      </c>
      <c r="L9" s="110"/>
      <c r="M9" s="219">
        <f>VLOOKUP(A9,'Amortised cost 31.12.2023'!B:I,8,0)</f>
        <v>7.4999999999999997E-2</v>
      </c>
      <c r="N9" s="220">
        <f>H9*M9*($N$1-MAX(B9,I9)+1)/365</f>
        <v>464383561.6438356</v>
      </c>
    </row>
    <row r="10" spans="1:15">
      <c r="A10" s="189" t="s">
        <v>20</v>
      </c>
      <c r="B10" s="82">
        <v>45272</v>
      </c>
      <c r="C10" s="83" t="s">
        <v>218</v>
      </c>
      <c r="D10" s="83" t="s">
        <v>99</v>
      </c>
      <c r="E10" s="83" t="s">
        <v>20</v>
      </c>
      <c r="F10" s="110">
        <v>-339700000</v>
      </c>
      <c r="G10" s="84">
        <v>-3397</v>
      </c>
      <c r="H10" s="110">
        <v>-339700000</v>
      </c>
      <c r="I10" s="221">
        <f>VLOOKUP(A10,'Amortised cost 31.12.2023'!B:O,14,0)</f>
        <v>44832</v>
      </c>
      <c r="J10" s="110">
        <v>5899600000</v>
      </c>
      <c r="K10" s="85">
        <v>58996</v>
      </c>
      <c r="L10" s="110">
        <v>100000</v>
      </c>
      <c r="M10" s="219">
        <f>VLOOKUP(A10,'Amortised cost 31.12.2023'!B:I,8,0)</f>
        <v>0.105</v>
      </c>
    </row>
    <row r="11" spans="1:15">
      <c r="A11" s="189" t="s">
        <v>20</v>
      </c>
      <c r="B11" s="92">
        <v>45008</v>
      </c>
      <c r="C11" s="94"/>
      <c r="D11" s="94" t="s">
        <v>20</v>
      </c>
      <c r="E11" s="94" t="s">
        <v>20</v>
      </c>
      <c r="F11" s="111" t="s">
        <v>238</v>
      </c>
      <c r="G11" s="95"/>
      <c r="H11" s="109">
        <v>-160413750</v>
      </c>
      <c r="I11" s="221">
        <f>VLOOKUP(A11,'Amortised cost 31.12.2023'!B:O,14,0)</f>
        <v>44832</v>
      </c>
      <c r="J11" s="109">
        <v>6300000000</v>
      </c>
      <c r="K11" s="90">
        <v>63000</v>
      </c>
      <c r="L11" s="109">
        <v>100000</v>
      </c>
      <c r="M11" s="219">
        <f>VLOOKUP(A11,'Amortised cost 31.12.2023'!B:I,8,0)</f>
        <v>0.105</v>
      </c>
    </row>
    <row r="12" spans="1:15">
      <c r="A12" s="189" t="s">
        <v>20</v>
      </c>
      <c r="B12" s="82">
        <v>45008</v>
      </c>
      <c r="C12" s="83"/>
      <c r="D12" s="83" t="s">
        <v>20</v>
      </c>
      <c r="E12" s="83" t="s">
        <v>20</v>
      </c>
      <c r="F12" s="106">
        <v>-60700000</v>
      </c>
      <c r="G12" s="84">
        <v>-607</v>
      </c>
      <c r="H12" s="106">
        <v>-60667127</v>
      </c>
      <c r="I12" s="221">
        <f>VLOOKUP(A12,'Amortised cost 31.12.2023'!B:O,14,0)</f>
        <v>44832</v>
      </c>
      <c r="J12" s="110">
        <v>6239300000</v>
      </c>
      <c r="K12" s="85">
        <v>62393</v>
      </c>
      <c r="L12" s="110">
        <v>100000</v>
      </c>
      <c r="M12" s="219">
        <f>VLOOKUP(A12,'Amortised cost 31.12.2023'!B:I,8,0)</f>
        <v>0.105</v>
      </c>
    </row>
    <row r="13" spans="1:15">
      <c r="A13" s="189" t="s">
        <v>16</v>
      </c>
      <c r="B13" s="82">
        <v>45240</v>
      </c>
      <c r="C13" s="83"/>
      <c r="D13" s="83" t="s">
        <v>332</v>
      </c>
      <c r="E13" s="83" t="s">
        <v>16</v>
      </c>
      <c r="F13" s="106">
        <v>50000000000</v>
      </c>
      <c r="G13" s="84">
        <v>500000</v>
      </c>
      <c r="H13" s="106">
        <v>50529000000</v>
      </c>
      <c r="I13" s="221">
        <f>VLOOKUP(A13,'Amortised cost 31.12.2023'!B:O,14,0)</f>
        <v>45223</v>
      </c>
      <c r="J13" s="110">
        <v>100860500000</v>
      </c>
      <c r="K13" s="85">
        <v>500500</v>
      </c>
      <c r="L13" s="110">
        <v>201519.48051948051</v>
      </c>
      <c r="M13" s="219">
        <f>VLOOKUP(A13,'Amortised cost 31.12.2023'!B:I,8,0)</f>
        <v>9.0999999999999998E-2</v>
      </c>
      <c r="N13" s="220">
        <f>F13*M13*($N$1-MAX(B13,I13)+1)/365</f>
        <v>648219178.08219182</v>
      </c>
    </row>
    <row r="14" spans="1:15">
      <c r="A14" s="189" t="s">
        <v>16</v>
      </c>
      <c r="B14" s="82">
        <v>45223</v>
      </c>
      <c r="C14" s="83"/>
      <c r="D14" s="83" t="s">
        <v>332</v>
      </c>
      <c r="E14" s="83" t="s">
        <v>16</v>
      </c>
      <c r="F14" s="106">
        <v>50000000000</v>
      </c>
      <c r="G14" s="84">
        <v>500000</v>
      </c>
      <c r="H14" s="106">
        <v>50331500000</v>
      </c>
      <c r="I14" s="221">
        <f>VLOOKUP(A14,'Amortised cost 31.12.2023'!B:O,14,0)</f>
        <v>45223</v>
      </c>
      <c r="J14" s="110">
        <v>50331500000</v>
      </c>
      <c r="K14" s="85">
        <v>500</v>
      </c>
      <c r="L14" s="110">
        <v>100663000</v>
      </c>
      <c r="M14" s="219">
        <f>VLOOKUP(A14,'Amortised cost 31.12.2023'!B:I,8,0)</f>
        <v>9.0999999999999998E-2</v>
      </c>
      <c r="N14" s="220">
        <f>F14*M14*($N$1-MAX(B14,I14)+1)/365</f>
        <v>860136986.30136991</v>
      </c>
    </row>
    <row r="15" spans="1:15">
      <c r="A15" s="189" t="s">
        <v>24</v>
      </c>
      <c r="B15" s="82">
        <v>45245</v>
      </c>
      <c r="C15" s="83"/>
      <c r="D15" s="83" t="s">
        <v>342</v>
      </c>
      <c r="E15" s="83" t="s">
        <v>24</v>
      </c>
      <c r="F15" s="106">
        <v>39000000000</v>
      </c>
      <c r="G15" s="84">
        <v>39</v>
      </c>
      <c r="H15" s="106">
        <v>39059083362</v>
      </c>
      <c r="I15" s="221">
        <f>VLOOKUP(A15,'Amortised cost 31.12.2023'!B:O,14,0)</f>
        <v>45245</v>
      </c>
      <c r="J15" s="110">
        <v>39059083362</v>
      </c>
      <c r="K15" s="85">
        <v>39</v>
      </c>
      <c r="L15" s="110">
        <v>1001514958</v>
      </c>
      <c r="M15" s="219">
        <f>VLOOKUP(A15,'Amortised cost 31.12.2023'!B:I,8,0)</f>
        <v>8.5000000000000006E-2</v>
      </c>
      <c r="N15" s="220">
        <f>F15*M15*($N$1-MAX(B15,I15)+1)/365</f>
        <v>426863013.69863015</v>
      </c>
    </row>
    <row r="16" spans="1:15">
      <c r="A16" s="190" t="s">
        <v>27</v>
      </c>
      <c r="B16" s="82">
        <v>45279</v>
      </c>
      <c r="C16" s="83" t="s">
        <v>218</v>
      </c>
      <c r="D16" s="100" t="s">
        <v>27</v>
      </c>
      <c r="E16" s="100" t="s">
        <v>27</v>
      </c>
      <c r="F16" s="110">
        <v>10000000000</v>
      </c>
      <c r="G16" s="84">
        <v>1</v>
      </c>
      <c r="H16" s="106">
        <v>10774200000</v>
      </c>
      <c r="I16" s="221">
        <f>VLOOKUP(A16,'Amortised cost 31.12.2023'!B:O,14,0)</f>
        <v>45279</v>
      </c>
      <c r="J16" s="110">
        <v>10774200000</v>
      </c>
      <c r="K16" s="85">
        <v>1</v>
      </c>
      <c r="L16" s="110">
        <v>10774200000</v>
      </c>
      <c r="M16" s="219">
        <f>VLOOKUP(A16,'Amortised cost 31.12.2023'!B:I,8,0)</f>
        <v>1.1926639564886488E-2</v>
      </c>
    </row>
    <row r="17" spans="1:14">
      <c r="A17" s="190" t="s">
        <v>29</v>
      </c>
      <c r="B17" s="82">
        <v>45279</v>
      </c>
      <c r="C17" s="83" t="s">
        <v>218</v>
      </c>
      <c r="D17" s="100" t="s">
        <v>29</v>
      </c>
      <c r="E17" s="100" t="s">
        <v>29</v>
      </c>
      <c r="F17" s="110">
        <v>39950000000</v>
      </c>
      <c r="G17" s="84">
        <v>1</v>
      </c>
      <c r="H17" s="106">
        <v>43146399500</v>
      </c>
      <c r="I17" s="221">
        <f>VLOOKUP(A17,'Amortised cost 31.12.2023'!B:O,14,0)</f>
        <v>45279</v>
      </c>
      <c r="J17" s="110">
        <v>43146399500</v>
      </c>
      <c r="K17" s="85">
        <v>1</v>
      </c>
      <c r="L17" s="110">
        <v>43146399500</v>
      </c>
      <c r="M17" s="219">
        <f>VLOOKUP(A17,'Amortised cost 31.12.2023'!B:I,8,0)</f>
        <v>1.1925815501708318E-2</v>
      </c>
    </row>
    <row r="18" spans="1:14">
      <c r="A18" s="189" t="s">
        <v>30</v>
      </c>
      <c r="B18" s="82">
        <v>45252</v>
      </c>
      <c r="C18" s="83"/>
      <c r="D18" s="83" t="s">
        <v>30</v>
      </c>
      <c r="E18" s="83" t="s">
        <v>30</v>
      </c>
      <c r="F18" s="106">
        <v>50000000000</v>
      </c>
      <c r="G18" s="84">
        <v>50</v>
      </c>
      <c r="H18" s="106">
        <v>52559423050</v>
      </c>
      <c r="I18" s="221">
        <f>VLOOKUP(A18,'Amortised cost 31.12.2023'!B:O,14,0)</f>
        <v>45252</v>
      </c>
      <c r="J18" s="110">
        <v>52559423050</v>
      </c>
      <c r="K18" s="85">
        <v>50</v>
      </c>
      <c r="L18" s="110">
        <v>1051188461</v>
      </c>
      <c r="M18" s="219">
        <f>VLOOKUP(A18,'Amortised cost 31.12.2023'!B:I,8,0)</f>
        <v>0.1075</v>
      </c>
    </row>
    <row r="19" spans="1:14">
      <c r="A19" s="189" t="s">
        <v>30</v>
      </c>
      <c r="B19" s="82">
        <v>45194</v>
      </c>
      <c r="C19" s="83"/>
      <c r="D19" s="83" t="s">
        <v>30</v>
      </c>
      <c r="E19" s="83" t="s">
        <v>30</v>
      </c>
      <c r="F19" s="106">
        <v>-20000000000</v>
      </c>
      <c r="G19" s="84">
        <v>-20</v>
      </c>
      <c r="H19" s="106">
        <v>-20759863020</v>
      </c>
      <c r="I19" s="221">
        <f>VLOOKUP(A19,'Amortised cost 31.12.2023'!B:O,14,0)</f>
        <v>45252</v>
      </c>
      <c r="J19" s="110">
        <v>0</v>
      </c>
      <c r="K19" s="85">
        <v>0</v>
      </c>
      <c r="L19" s="110">
        <v>1002061644</v>
      </c>
      <c r="M19" s="219">
        <f>VLOOKUP(A19,'Amortised cost 31.12.2023'!B:I,8,0)</f>
        <v>0.1075</v>
      </c>
    </row>
    <row r="20" spans="1:14">
      <c r="A20" s="189" t="s">
        <v>30</v>
      </c>
      <c r="B20" s="82">
        <v>45189</v>
      </c>
      <c r="C20" s="83"/>
      <c r="D20" s="83" t="s">
        <v>30</v>
      </c>
      <c r="E20" s="83" t="s">
        <v>30</v>
      </c>
      <c r="F20" s="106">
        <v>-15000000000</v>
      </c>
      <c r="G20" s="84">
        <v>-15</v>
      </c>
      <c r="H20" s="106">
        <v>-15547808220</v>
      </c>
      <c r="I20" s="221">
        <f>VLOOKUP(A20,'Amortised cost 31.12.2023'!B:O,14,0)</f>
        <v>45252</v>
      </c>
      <c r="J20" s="110">
        <v>20041232880</v>
      </c>
      <c r="K20" s="85">
        <v>20</v>
      </c>
      <c r="L20" s="110">
        <v>1002061644</v>
      </c>
      <c r="M20" s="219">
        <f>VLOOKUP(A20,'Amortised cost 31.12.2023'!B:I,8,0)</f>
        <v>0.1075</v>
      </c>
    </row>
    <row r="21" spans="1:14">
      <c r="A21" s="189" t="s">
        <v>30</v>
      </c>
      <c r="B21" s="82">
        <v>45188</v>
      </c>
      <c r="C21" s="83"/>
      <c r="D21" s="83" t="s">
        <v>30</v>
      </c>
      <c r="E21" s="83" t="s">
        <v>30</v>
      </c>
      <c r="F21" s="106">
        <v>-15000000000</v>
      </c>
      <c r="G21" s="84">
        <v>-15</v>
      </c>
      <c r="H21" s="106">
        <v>-15543390405</v>
      </c>
      <c r="I21" s="221">
        <f>VLOOKUP(A21,'Amortised cost 31.12.2023'!B:O,14,0)</f>
        <v>45252</v>
      </c>
      <c r="J21" s="110">
        <v>35072157540</v>
      </c>
      <c r="K21" s="85">
        <v>35</v>
      </c>
      <c r="L21" s="110">
        <v>1002061644</v>
      </c>
      <c r="M21" s="219">
        <f>VLOOKUP(A21,'Amortised cost 31.12.2023'!B:I,8,0)</f>
        <v>0.1075</v>
      </c>
    </row>
    <row r="22" spans="1:14">
      <c r="A22" s="189" t="s">
        <v>30</v>
      </c>
      <c r="B22" s="101">
        <v>45072</v>
      </c>
      <c r="C22" s="100"/>
      <c r="D22" s="100" t="s">
        <v>30</v>
      </c>
      <c r="E22" s="100" t="s">
        <v>30</v>
      </c>
      <c r="F22" s="110">
        <v>50000000000</v>
      </c>
      <c r="G22" s="102">
        <v>50</v>
      </c>
      <c r="H22" s="114">
        <v>50103082200</v>
      </c>
      <c r="I22" s="221">
        <f>VLOOKUP(A22,'Amortised cost 31.12.2023'!B:O,14,0)</f>
        <v>45252</v>
      </c>
      <c r="J22" s="110">
        <v>50103082200</v>
      </c>
      <c r="K22" s="85">
        <v>50</v>
      </c>
      <c r="L22" s="110">
        <v>1002061644</v>
      </c>
      <c r="M22" s="219">
        <f>VLOOKUP(A22,'Amortised cost 31.12.2023'!B:I,8,0)</f>
        <v>0.1075</v>
      </c>
    </row>
    <row r="23" spans="1:14">
      <c r="A23" s="189" t="s">
        <v>32</v>
      </c>
      <c r="B23" s="82">
        <v>45217</v>
      </c>
      <c r="C23" s="83"/>
      <c r="D23" s="83" t="s">
        <v>326</v>
      </c>
      <c r="E23" s="83" t="s">
        <v>32</v>
      </c>
      <c r="F23" s="106">
        <v>50000000000</v>
      </c>
      <c r="G23" s="84">
        <v>50</v>
      </c>
      <c r="H23" s="112">
        <v>51834228650</v>
      </c>
      <c r="I23" s="221">
        <f>VLOOKUP(A23,'Amortised cost 31.12.2023'!B:O,14,0)</f>
        <v>45217</v>
      </c>
      <c r="J23" s="110">
        <v>51834228650</v>
      </c>
      <c r="K23" s="85">
        <v>50</v>
      </c>
      <c r="L23" s="110">
        <v>1036684573</v>
      </c>
      <c r="M23" s="219">
        <f>VLOOKUP(A23,'Amortised cost 31.12.2023'!B:I,8,0)</f>
        <v>0.1075</v>
      </c>
      <c r="N23" s="220">
        <f>F23*M23*($N$1-MAX(B23,I23)+1)/365</f>
        <v>1104452054.7945206</v>
      </c>
    </row>
    <row r="24" spans="1:14">
      <c r="A24" s="189" t="s">
        <v>32</v>
      </c>
      <c r="B24" s="82">
        <v>45194</v>
      </c>
      <c r="C24" s="83"/>
      <c r="D24" s="83" t="s">
        <v>32</v>
      </c>
      <c r="E24" s="83" t="s">
        <v>32</v>
      </c>
      <c r="F24" s="106">
        <v>-50000000000</v>
      </c>
      <c r="G24" s="84">
        <v>-50</v>
      </c>
      <c r="H24" s="106">
        <v>-51590410950</v>
      </c>
      <c r="I24" s="221">
        <f>VLOOKUP(A24,'Amortised cost 31.12.2023'!B:O,14,0)</f>
        <v>45217</v>
      </c>
      <c r="J24" s="110">
        <v>0</v>
      </c>
      <c r="K24" s="85">
        <v>0</v>
      </c>
      <c r="L24" s="110">
        <v>1000000000</v>
      </c>
      <c r="M24" s="219">
        <f>VLOOKUP(A24,'Amortised cost 31.12.2023'!B:I,8,0)</f>
        <v>0.1075</v>
      </c>
      <c r="N24" s="220">
        <f>F24*M24*($N$1-MAX(B25,I24)+1)/365</f>
        <v>-1104452054.7945206</v>
      </c>
    </row>
    <row r="25" spans="1:14">
      <c r="A25" s="189" t="s">
        <v>32</v>
      </c>
      <c r="B25" s="82">
        <v>45086</v>
      </c>
      <c r="C25" s="83"/>
      <c r="D25" s="83" t="s">
        <v>32</v>
      </c>
      <c r="E25" s="83" t="s">
        <v>32</v>
      </c>
      <c r="F25" s="106">
        <v>50000000000</v>
      </c>
      <c r="G25" s="84">
        <v>50</v>
      </c>
      <c r="H25" s="112">
        <v>50000000000</v>
      </c>
      <c r="I25" s="221">
        <f>VLOOKUP(A25,'Amortised cost 31.12.2023'!B:O,14,0)</f>
        <v>45217</v>
      </c>
      <c r="J25" s="110">
        <v>50000000000</v>
      </c>
      <c r="K25" s="85">
        <v>50</v>
      </c>
      <c r="L25" s="110">
        <v>1000000000</v>
      </c>
      <c r="M25" s="219">
        <f>VLOOKUP(A25,'Amortised cost 31.12.2023'!B:I,8,0)</f>
        <v>0.1075</v>
      </c>
      <c r="N25" s="220">
        <f t="shared" ref="N25:N26" si="0">F25*M25*($N$1-MAX(B25,I25)+1)/365</f>
        <v>1104452054.7945206</v>
      </c>
    </row>
    <row r="26" spans="1:14">
      <c r="A26" s="189" t="s">
        <v>33</v>
      </c>
      <c r="B26" s="82">
        <v>45240</v>
      </c>
      <c r="C26" s="83"/>
      <c r="D26" s="83" t="s">
        <v>33</v>
      </c>
      <c r="E26" s="83" t="s">
        <v>33</v>
      </c>
      <c r="F26" s="106">
        <v>50000000000</v>
      </c>
      <c r="G26" s="84">
        <v>50</v>
      </c>
      <c r="H26" s="106">
        <v>51708773650</v>
      </c>
      <c r="I26" s="221">
        <f>VLOOKUP(A26,'Amortised cost 31.12.2023'!B:O,14,0)</f>
        <v>45240</v>
      </c>
      <c r="J26" s="110">
        <v>51708773650</v>
      </c>
      <c r="K26" s="85">
        <v>50</v>
      </c>
      <c r="L26" s="110">
        <v>1034175473</v>
      </c>
      <c r="M26" s="219">
        <f>VLOOKUP(A26,'Amortised cost 31.12.2023'!B:I,8,0)</f>
        <v>0.1075</v>
      </c>
      <c r="N26" s="220">
        <f t="shared" si="0"/>
        <v>765753424.65753424</v>
      </c>
    </row>
    <row r="27" spans="1:14">
      <c r="A27" s="189" t="s">
        <v>33</v>
      </c>
      <c r="B27" s="82">
        <v>45103</v>
      </c>
      <c r="C27" s="83"/>
      <c r="D27" s="83" t="s">
        <v>33</v>
      </c>
      <c r="E27" s="83" t="s">
        <v>33</v>
      </c>
      <c r="F27" s="106">
        <v>-25000000000</v>
      </c>
      <c r="G27" s="84">
        <v>-25</v>
      </c>
      <c r="H27" s="112">
        <v>-25073630125</v>
      </c>
      <c r="I27" s="221">
        <f>VLOOKUP(A27,'Amortised cost 31.12.2023'!B:O,14,0)</f>
        <v>45240</v>
      </c>
      <c r="J27" s="110">
        <v>0</v>
      </c>
      <c r="K27" s="85">
        <v>0</v>
      </c>
      <c r="L27" s="110">
        <v>1000000000</v>
      </c>
      <c r="M27" s="219">
        <f>VLOOKUP(A27,'Amortised cost 31.12.2023'!B:I,8,0)</f>
        <v>0.1075</v>
      </c>
      <c r="N27" s="220">
        <f>F27*M27*($N$1-MAX(B29,I27)+1)/365</f>
        <v>-382876712.32876712</v>
      </c>
    </row>
    <row r="28" spans="1:14">
      <c r="A28" s="189" t="s">
        <v>33</v>
      </c>
      <c r="B28" s="82">
        <v>45096</v>
      </c>
      <c r="C28" s="83"/>
      <c r="D28" s="100" t="s">
        <v>33</v>
      </c>
      <c r="E28" s="100" t="s">
        <v>33</v>
      </c>
      <c r="F28" s="106">
        <v>-5000000000</v>
      </c>
      <c r="G28" s="84">
        <v>-5</v>
      </c>
      <c r="H28" s="112">
        <v>-5004417810</v>
      </c>
      <c r="I28" s="221">
        <f>VLOOKUP(A28,'Amortised cost 31.12.2023'!B:O,14,0)</f>
        <v>45240</v>
      </c>
      <c r="J28" s="110">
        <v>25000000000</v>
      </c>
      <c r="K28" s="85">
        <v>25</v>
      </c>
      <c r="L28" s="110">
        <v>1000000000</v>
      </c>
      <c r="M28" s="219">
        <f>VLOOKUP(A28,'Amortised cost 31.12.2023'!B:I,8,0)</f>
        <v>0.1075</v>
      </c>
      <c r="N28" s="220">
        <f>F28*M28*($N$1-MAX(B31,I28)+1)/365</f>
        <v>-76575342.465753421</v>
      </c>
    </row>
    <row r="29" spans="1:14">
      <c r="A29" s="189" t="s">
        <v>33</v>
      </c>
      <c r="B29" s="82">
        <v>45093</v>
      </c>
      <c r="C29" s="83"/>
      <c r="D29" s="83" t="s">
        <v>33</v>
      </c>
      <c r="E29" s="83" t="s">
        <v>33</v>
      </c>
      <c r="F29" s="106">
        <v>30000000000</v>
      </c>
      <c r="G29" s="84">
        <v>30</v>
      </c>
      <c r="H29" s="112">
        <v>30000000000</v>
      </c>
      <c r="I29" s="221">
        <f>VLOOKUP(A29,'Amortised cost 31.12.2023'!B:O,14,0)</f>
        <v>45240</v>
      </c>
      <c r="J29" s="110">
        <v>30000000000</v>
      </c>
      <c r="K29" s="85">
        <v>30</v>
      </c>
      <c r="L29" s="110">
        <v>1000000000</v>
      </c>
      <c r="M29" s="219">
        <f>VLOOKUP(A29,'Amortised cost 31.12.2023'!B:I,8,0)</f>
        <v>0.1075</v>
      </c>
      <c r="N29" s="220">
        <f>F29*M29*($N$1-MAX(B29,I29)+1)/365</f>
        <v>459452054.79452056</v>
      </c>
    </row>
    <row r="30" spans="1:14">
      <c r="A30" s="217" t="s">
        <v>23</v>
      </c>
      <c r="B30" s="82">
        <v>45026</v>
      </c>
      <c r="C30" s="98"/>
      <c r="D30" s="99" t="s">
        <v>23</v>
      </c>
      <c r="E30" s="99" t="s">
        <v>23</v>
      </c>
      <c r="F30" s="110">
        <v>-3000000000</v>
      </c>
      <c r="G30" s="85">
        <v>-30000</v>
      </c>
      <c r="H30" s="110">
        <v>-3000000000</v>
      </c>
      <c r="I30" s="221">
        <f>VLOOKUP(A30,'Amortised cost 31.12.2023'!B:O,14,0)</f>
        <v>45207</v>
      </c>
      <c r="J30" s="110">
        <v>7000000000</v>
      </c>
      <c r="K30" s="85">
        <v>70000</v>
      </c>
      <c r="L30" s="110">
        <v>100000</v>
      </c>
      <c r="M30" s="219">
        <f>VLOOKUP(A30,'Amortised cost 31.12.2023'!B:I,8,0)</f>
        <v>0.105</v>
      </c>
    </row>
    <row r="31" spans="1:14">
      <c r="A31" s="217" t="s">
        <v>23</v>
      </c>
      <c r="B31" s="82">
        <v>45117</v>
      </c>
      <c r="C31" s="83"/>
      <c r="D31" s="83" t="s">
        <v>23</v>
      </c>
      <c r="E31" s="83" t="s">
        <v>23</v>
      </c>
      <c r="F31" s="106">
        <v>-3000000000</v>
      </c>
      <c r="G31" s="84">
        <v>-30000</v>
      </c>
      <c r="H31" s="106">
        <v>-3183246575</v>
      </c>
      <c r="I31" s="221">
        <f>VLOOKUP(A31,'Amortised cost 31.12.2023'!B:O,14,0)</f>
        <v>45207</v>
      </c>
      <c r="J31" s="110">
        <v>4000000000</v>
      </c>
      <c r="K31" s="85">
        <v>40000</v>
      </c>
      <c r="L31" s="110">
        <v>100000</v>
      </c>
      <c r="M31" s="219">
        <f>VLOOKUP(A31,'Amortised cost 31.12.2023'!B:I,8,0)</f>
        <v>0.105</v>
      </c>
    </row>
    <row r="32" spans="1:14">
      <c r="A32" s="189" t="s">
        <v>34</v>
      </c>
      <c r="B32" s="82">
        <v>45114</v>
      </c>
      <c r="C32" s="83"/>
      <c r="D32" s="83" t="s">
        <v>295</v>
      </c>
      <c r="E32" s="83" t="s">
        <v>34</v>
      </c>
      <c r="F32" s="106">
        <v>50000000000</v>
      </c>
      <c r="G32" s="84">
        <v>500</v>
      </c>
      <c r="H32" s="106">
        <v>50000000000</v>
      </c>
      <c r="I32" s="221">
        <f>VLOOKUP(A32,'Amortised cost 31.12.2023'!B:O,14,0)</f>
        <v>45114</v>
      </c>
      <c r="J32" s="110">
        <v>50000000000</v>
      </c>
      <c r="K32" s="85">
        <v>500</v>
      </c>
      <c r="L32" s="110">
        <v>100000000</v>
      </c>
      <c r="M32" s="219">
        <f>VLOOKUP(A32,'Amortised cost 31.12.2023'!B:I,8,0)</f>
        <v>0.10100000000000001</v>
      </c>
      <c r="N32" s="220">
        <f t="shared" ref="N32:N33" si="1">F32*M32*($N$1-MAX(B32,I32)+1)/365</f>
        <v>2462739726.0273972</v>
      </c>
    </row>
    <row r="33" spans="1:14">
      <c r="A33" s="189" t="s">
        <v>35</v>
      </c>
      <c r="B33" s="82">
        <v>45120</v>
      </c>
      <c r="C33" s="83"/>
      <c r="D33" s="83" t="s">
        <v>295</v>
      </c>
      <c r="E33" s="83" t="s">
        <v>35</v>
      </c>
      <c r="F33" s="106">
        <v>50000000000</v>
      </c>
      <c r="G33" s="84">
        <v>500</v>
      </c>
      <c r="H33" s="106">
        <v>50000000000</v>
      </c>
      <c r="I33" s="221">
        <f>VLOOKUP(A33,'Amortised cost 31.12.2023'!B:O,14,0)</f>
        <v>45120</v>
      </c>
      <c r="J33" s="110">
        <v>50000000000</v>
      </c>
      <c r="K33" s="85">
        <v>500</v>
      </c>
      <c r="L33" s="110">
        <v>100000000</v>
      </c>
      <c r="M33" s="219">
        <f>VLOOKUP(A33,'Amortised cost 31.12.2023'!B:I,8,0)</f>
        <v>0.10100000000000001</v>
      </c>
      <c r="N33" s="220">
        <f t="shared" si="1"/>
        <v>2379726027.3972602</v>
      </c>
    </row>
    <row r="34" spans="1:14">
      <c r="A34" s="189" t="s">
        <v>36</v>
      </c>
      <c r="B34" s="82">
        <v>45117</v>
      </c>
      <c r="C34" s="83"/>
      <c r="D34" s="83" t="s">
        <v>297</v>
      </c>
      <c r="E34" s="83" t="s">
        <v>36</v>
      </c>
      <c r="F34" s="106">
        <v>100000000000</v>
      </c>
      <c r="G34" s="84">
        <v>100</v>
      </c>
      <c r="H34" s="106">
        <v>100000000000</v>
      </c>
      <c r="I34" s="221">
        <f>VLOOKUP(A34,'Amortised cost 31.12.2023'!B:O,14,0)</f>
        <v>45117</v>
      </c>
      <c r="J34" s="110">
        <v>100000000000</v>
      </c>
      <c r="K34" s="85">
        <v>100</v>
      </c>
      <c r="L34" s="110">
        <v>1000000000</v>
      </c>
      <c r="M34" s="219">
        <f>VLOOKUP(A34,'Amortised cost 31.12.2023'!B:I,8,0)</f>
        <v>0.11</v>
      </c>
      <c r="N34" s="220">
        <f t="shared" ref="N34" si="2">F34*M34*($N$1-MAX(B34,I34)+1)/365</f>
        <v>5273972602.7397261</v>
      </c>
    </row>
    <row r="35" spans="1:14">
      <c r="A35" s="189" t="s">
        <v>85</v>
      </c>
      <c r="B35" s="82">
        <v>45107</v>
      </c>
      <c r="C35" s="83"/>
      <c r="D35" s="83" t="s">
        <v>85</v>
      </c>
      <c r="E35" s="83" t="s">
        <v>290</v>
      </c>
      <c r="F35" s="106">
        <v>100000000000</v>
      </c>
      <c r="G35" s="84">
        <v>1</v>
      </c>
      <c r="H35" s="106">
        <v>100000000000</v>
      </c>
      <c r="I35" s="221">
        <f>VLOOKUP(A35,'Amortised cost 31.12.2023'!B:O,14,0)</f>
        <v>45107</v>
      </c>
      <c r="J35" s="110">
        <v>100000000000</v>
      </c>
      <c r="K35" s="85">
        <v>1</v>
      </c>
      <c r="L35" s="110">
        <v>100000000000</v>
      </c>
      <c r="M35" s="219">
        <f>VLOOKUP(A35,'Amortised cost 31.12.2023'!B:I,8,0)</f>
        <v>7.5000000000000011E-2</v>
      </c>
      <c r="N35" s="220">
        <f t="shared" ref="N35:N37" si="3">F35*M35*($N$1-MAX(B35,I35)+1)/365</f>
        <v>3801369863.0136995</v>
      </c>
    </row>
    <row r="36" spans="1:14">
      <c r="A36" s="189" t="s">
        <v>38</v>
      </c>
      <c r="B36" s="82">
        <v>45140</v>
      </c>
      <c r="C36" s="83"/>
      <c r="D36" s="83" t="s">
        <v>310</v>
      </c>
      <c r="E36" s="83" t="s">
        <v>38</v>
      </c>
      <c r="F36" s="106">
        <v>10000000000</v>
      </c>
      <c r="G36" s="84">
        <v>10</v>
      </c>
      <c r="H36" s="106">
        <v>10000000000</v>
      </c>
      <c r="I36" s="221">
        <f>VLOOKUP(A36,'Amortised cost 31.12.2023'!B:O,14,0)</f>
        <v>45140</v>
      </c>
      <c r="J36" s="110">
        <v>10000000000</v>
      </c>
      <c r="K36" s="85">
        <v>10</v>
      </c>
      <c r="L36" s="110">
        <v>1000000000</v>
      </c>
      <c r="M36" s="219">
        <f>VLOOKUP(A36,'Amortised cost 31.12.2023'!B:I,8,0)</f>
        <v>0.108</v>
      </c>
      <c r="N36" s="220">
        <f t="shared" si="3"/>
        <v>449753424.65753424</v>
      </c>
    </row>
    <row r="37" spans="1:14">
      <c r="A37" s="189" t="s">
        <v>39</v>
      </c>
      <c r="B37" s="82">
        <v>45161</v>
      </c>
      <c r="C37" s="83"/>
      <c r="D37" s="83" t="s">
        <v>310</v>
      </c>
      <c r="E37" s="83" t="s">
        <v>39</v>
      </c>
      <c r="F37" s="106">
        <v>10000000000</v>
      </c>
      <c r="G37" s="84">
        <v>10</v>
      </c>
      <c r="H37" s="106">
        <v>10000000000</v>
      </c>
      <c r="I37" s="221">
        <f>VLOOKUP(A37,'Amortised cost 31.12.2023'!B:O,14,0)</f>
        <v>45161</v>
      </c>
      <c r="J37" s="110">
        <v>10000000000</v>
      </c>
      <c r="K37" s="85">
        <v>10</v>
      </c>
      <c r="L37" s="110">
        <v>1000000000</v>
      </c>
      <c r="M37" s="219">
        <f>VLOOKUP(A37,'Amortised cost 31.12.2023'!B:I,8,0)</f>
        <v>0.108</v>
      </c>
      <c r="N37" s="220">
        <f t="shared" si="3"/>
        <v>387616438.3561644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81AC-21C0-4129-A41A-841E383CB767}">
  <sheetPr codeName="Sheet14"/>
  <dimension ref="A1:AJ402"/>
  <sheetViews>
    <sheetView topLeftCell="A2" workbookViewId="0">
      <selection activeCell="E363" sqref="E363"/>
    </sheetView>
  </sheetViews>
  <sheetFormatPr defaultColWidth="9.1796875" defaultRowHeight="12.5"/>
  <cols>
    <col min="1" max="1" width="9.1796875" style="3"/>
    <col min="2" max="2" width="34.453125" style="3" customWidth="1"/>
    <col min="3" max="3" width="9.1796875" style="3"/>
    <col min="4" max="4" width="11.453125" style="3" bestFit="1" customWidth="1"/>
    <col min="5" max="5" width="18.54296875" style="3" bestFit="1" customWidth="1"/>
    <col min="6" max="8" width="17.54296875" style="3" customWidth="1"/>
    <col min="9" max="9" width="18.54296875" style="3" bestFit="1" customWidth="1"/>
    <col min="10" max="10" width="12.81640625" style="3" bestFit="1" customWidth="1"/>
    <col min="11" max="11" width="13" style="3" customWidth="1"/>
    <col min="12" max="12" width="15.54296875" style="3" customWidth="1"/>
    <col min="13" max="13" width="17.54296875" style="3" bestFit="1" customWidth="1"/>
    <col min="14" max="15" width="15" style="3" customWidth="1"/>
    <col min="16" max="16" width="15.54296875" style="3" bestFit="1" customWidth="1"/>
    <col min="17" max="17" width="12.81640625" style="3" bestFit="1" customWidth="1"/>
    <col min="18" max="19" width="9.1796875" style="3"/>
    <col min="20" max="20" width="16.54296875" style="3" bestFit="1" customWidth="1"/>
    <col min="21" max="21" width="15.453125" style="3" bestFit="1" customWidth="1"/>
    <col min="22" max="22" width="15.54296875" style="3" bestFit="1" customWidth="1"/>
    <col min="23" max="23" width="16.453125" style="3" bestFit="1" customWidth="1"/>
    <col min="24" max="24" width="18.453125" style="3" bestFit="1" customWidth="1"/>
    <col min="25" max="25" width="12.81640625" style="3" bestFit="1" customWidth="1"/>
    <col min="26" max="26" width="11.81640625" style="3" bestFit="1" customWidth="1"/>
    <col min="27" max="27" width="9.1796875" style="3"/>
    <col min="28" max="28" width="10.54296875" style="3" bestFit="1" customWidth="1"/>
    <col min="29" max="30" width="15.453125" style="3" bestFit="1" customWidth="1"/>
    <col min="31" max="31" width="15.81640625" style="3" bestFit="1" customWidth="1"/>
    <col min="32" max="33" width="9.1796875" style="3"/>
    <col min="34" max="34" width="16.1796875" style="3" bestFit="1" customWidth="1"/>
    <col min="35" max="35" width="19.1796875" style="3" bestFit="1" customWidth="1"/>
    <col min="36" max="16384" width="9.1796875" style="3"/>
  </cols>
  <sheetData>
    <row r="1" spans="1:36">
      <c r="D1" s="4">
        <f>SUBTOTAL(109,D3:D402)</f>
        <v>30048690.002400003</v>
      </c>
      <c r="E1" s="4">
        <f>SUBTOTAL(109,E3:E402)</f>
        <v>1257114633974.1599</v>
      </c>
      <c r="F1" s="4">
        <f>SUBTOTAL(109,F3:F402)</f>
        <v>252763435</v>
      </c>
      <c r="G1" s="4">
        <f>SUBTOTAL(109,G3:G402)</f>
        <v>433116831</v>
      </c>
      <c r="H1" s="4">
        <f>SUBTOTAL(109,H3:H402)</f>
        <v>1257367397409.1599</v>
      </c>
      <c r="I1" s="4"/>
      <c r="J1" s="5"/>
      <c r="M1" s="4">
        <f>SUBTOTAL(109,M3:M402)</f>
        <v>1266443984049.8701</v>
      </c>
      <c r="N1" s="4">
        <f>SUBTOTAL(109,N3:N402)</f>
        <v>9329350075.7098999</v>
      </c>
      <c r="O1" s="4">
        <f>SUBTOTAL(109,O3:O402)</f>
        <v>34683160752.992424</v>
      </c>
      <c r="P1" s="4">
        <f>SUBTOTAL(109,P3:P402)</f>
        <v>-25353810677.282516</v>
      </c>
      <c r="T1" s="3" t="s">
        <v>638</v>
      </c>
      <c r="U1" s="4">
        <f t="shared" ref="U1:Z1" si="0">SUBTOTAL(109,U3:U402)</f>
        <v>9074657728.3730335</v>
      </c>
      <c r="V1" s="4">
        <f t="shared" si="0"/>
        <v>34429285991.342781</v>
      </c>
      <c r="W1" s="4">
        <f t="shared" si="0"/>
        <v>-25354628262.969742</v>
      </c>
      <c r="X1" s="4">
        <f t="shared" si="0"/>
        <v>1266442055137.5332</v>
      </c>
      <c r="Y1" s="4">
        <f t="shared" si="0"/>
        <v>253874761.64963818</v>
      </c>
      <c r="Z1" s="4">
        <f t="shared" si="0"/>
        <v>817585.68722630804</v>
      </c>
      <c r="AB1" s="5"/>
      <c r="AG1" s="3" t="s">
        <v>639</v>
      </c>
      <c r="AH1" s="4">
        <f t="shared" ref="AH1:AI1" si="1">SUBTOTAL(109,AH3:AH402)</f>
        <v>298134637327.35223</v>
      </c>
      <c r="AI1" s="4">
        <f t="shared" si="1"/>
        <v>307209295055.72528</v>
      </c>
      <c r="AJ1" s="4"/>
    </row>
    <row r="2" spans="1:36" ht="39">
      <c r="A2" s="6" t="s">
        <v>40</v>
      </c>
      <c r="B2" s="7" t="s">
        <v>640</v>
      </c>
      <c r="C2" s="8" t="s">
        <v>641</v>
      </c>
      <c r="D2" s="9" t="s">
        <v>3</v>
      </c>
      <c r="E2" s="7" t="s">
        <v>4</v>
      </c>
      <c r="F2" s="7" t="s">
        <v>642</v>
      </c>
      <c r="G2" s="7" t="s">
        <v>643</v>
      </c>
      <c r="H2" s="10" t="s">
        <v>644</v>
      </c>
      <c r="I2" s="7" t="s">
        <v>645</v>
      </c>
      <c r="J2" s="7" t="s">
        <v>646</v>
      </c>
      <c r="K2" s="7" t="s">
        <v>647</v>
      </c>
      <c r="L2" s="7" t="s">
        <v>648</v>
      </c>
      <c r="M2" s="10" t="s">
        <v>649</v>
      </c>
      <c r="N2" s="7" t="s">
        <v>650</v>
      </c>
      <c r="O2" s="6" t="s">
        <v>651</v>
      </c>
      <c r="P2" s="6" t="s">
        <v>652</v>
      </c>
      <c r="Q2" s="6" t="s">
        <v>653</v>
      </c>
      <c r="T2" s="7" t="s">
        <v>645</v>
      </c>
      <c r="U2" s="7" t="s">
        <v>654</v>
      </c>
      <c r="V2" s="7" t="s">
        <v>655</v>
      </c>
      <c r="W2" s="7" t="s">
        <v>656</v>
      </c>
      <c r="X2" s="10" t="s">
        <v>657</v>
      </c>
      <c r="Y2" s="7" t="s">
        <v>658</v>
      </c>
      <c r="Z2" s="7" t="s">
        <v>659</v>
      </c>
      <c r="AB2" s="3" t="s">
        <v>660</v>
      </c>
      <c r="AC2" s="3" t="s">
        <v>661</v>
      </c>
      <c r="AD2" s="3" t="s">
        <v>662</v>
      </c>
      <c r="AE2" s="3" t="s">
        <v>663</v>
      </c>
      <c r="AH2" s="3" t="s">
        <v>664</v>
      </c>
      <c r="AI2" s="3" t="s">
        <v>665</v>
      </c>
    </row>
    <row r="3" spans="1:36">
      <c r="A3" s="3">
        <v>1</v>
      </c>
      <c r="B3" s="3" t="s">
        <v>666</v>
      </c>
      <c r="C3" s="3" t="s">
        <v>667</v>
      </c>
      <c r="D3" s="4">
        <v>43900</v>
      </c>
      <c r="E3" s="4">
        <v>414735623.24714303</v>
      </c>
      <c r="F3" s="4">
        <v>0</v>
      </c>
      <c r="G3" s="4">
        <v>0</v>
      </c>
      <c r="H3" s="4">
        <f>E3+F3</f>
        <v>414735623.24714303</v>
      </c>
      <c r="I3" s="4">
        <f>E3/D3</f>
        <v>9447.2807117800239</v>
      </c>
      <c r="J3" s="4">
        <v>43837.1</v>
      </c>
      <c r="K3" s="5">
        <f>MIN(D3,J3)</f>
        <v>43837.1</v>
      </c>
      <c r="L3" s="4">
        <v>9450</v>
      </c>
      <c r="M3" s="4">
        <f t="shared" ref="M3:M66" si="2">(L3-I3)*K3+E3</f>
        <v>414854828.95677096</v>
      </c>
      <c r="N3" s="4">
        <f>(L3-I3)*K3</f>
        <v>119205.70962791335</v>
      </c>
      <c r="O3" s="4">
        <f>IF(N3&gt;0,N3,0)</f>
        <v>119205.70962791335</v>
      </c>
      <c r="P3" s="4">
        <f>IF(N3&lt;0,N3,0)</f>
        <v>0</v>
      </c>
      <c r="T3" s="4">
        <f>H3/D3</f>
        <v>9447.2807117800239</v>
      </c>
      <c r="U3" s="4">
        <f>(L3-T3)*K3</f>
        <v>119205.70962791335</v>
      </c>
      <c r="V3" s="4">
        <f>IF(U3&gt;0,U3,0)</f>
        <v>119205.70962791335</v>
      </c>
      <c r="W3" s="4">
        <f>IF(U3&lt;0,U3,0)</f>
        <v>0</v>
      </c>
      <c r="X3" s="5">
        <f>H3+U3</f>
        <v>414854828.95677096</v>
      </c>
      <c r="Y3" s="5">
        <f>O3-V3</f>
        <v>0</v>
      </c>
      <c r="Z3" s="5">
        <f>P3-W3</f>
        <v>0</v>
      </c>
      <c r="AB3" s="5">
        <f t="shared" ref="AB3:AB66" si="3">D3-J3</f>
        <v>62.900000000001455</v>
      </c>
      <c r="AC3" s="4">
        <f>T3*AB3</f>
        <v>594233.95677097724</v>
      </c>
      <c r="AD3" s="4">
        <f>L3*AB3</f>
        <v>594405.00000001374</v>
      </c>
      <c r="AE3" s="5">
        <f>IF(AB3&gt;0,AC3-AD3,0)</f>
        <v>-171.04322903649881</v>
      </c>
      <c r="AF3" s="3" t="str">
        <f>IF(AE3&gt;0,"Y","N")</f>
        <v>N</v>
      </c>
      <c r="AH3" s="4">
        <f>K3*T3</f>
        <v>414141389.29037207</v>
      </c>
      <c r="AI3" s="4">
        <f>K3*L3</f>
        <v>414260595</v>
      </c>
    </row>
    <row r="4" spans="1:36">
      <c r="A4" s="3">
        <v>2</v>
      </c>
      <c r="B4" s="3" t="s">
        <v>668</v>
      </c>
      <c r="C4" s="3" t="s">
        <v>667</v>
      </c>
      <c r="D4" s="4">
        <v>19400</v>
      </c>
      <c r="E4" s="4">
        <v>221976075.81564924</v>
      </c>
      <c r="F4" s="4">
        <v>0</v>
      </c>
      <c r="G4" s="4">
        <v>0</v>
      </c>
      <c r="H4" s="4">
        <f t="shared" ref="H4:H67" si="4">E4+F4</f>
        <v>221976075.81564924</v>
      </c>
      <c r="I4" s="4">
        <f t="shared" ref="I4:I67" si="5">E4/D4</f>
        <v>11442.065763693259</v>
      </c>
      <c r="J4" s="4">
        <v>19418</v>
      </c>
      <c r="K4" s="5">
        <f t="shared" ref="K4:K67" si="6">MIN(D4,J4)</f>
        <v>19400</v>
      </c>
      <c r="L4" s="4">
        <v>9330</v>
      </c>
      <c r="M4" s="4">
        <f t="shared" si="2"/>
        <v>181002000</v>
      </c>
      <c r="N4" s="4">
        <f t="shared" ref="N4:N67" si="7">(L4-I4)*K4</f>
        <v>-40974075.815649226</v>
      </c>
      <c r="O4" s="4">
        <f t="shared" ref="O4:O67" si="8">IF(N4&gt;0,N4,0)</f>
        <v>0</v>
      </c>
      <c r="P4" s="4">
        <f t="shared" ref="P4:P67" si="9">IF(N4&lt;0,N4,0)</f>
        <v>-40974075.815649226</v>
      </c>
      <c r="T4" s="4">
        <f t="shared" ref="T4:T67" si="10">H4/D4</f>
        <v>11442.065763693259</v>
      </c>
      <c r="U4" s="4">
        <f t="shared" ref="U4:U67" si="11">(L4-T4)*K4</f>
        <v>-40974075.815649226</v>
      </c>
      <c r="V4" s="4">
        <f t="shared" ref="V4:V67" si="12">IF(U4&gt;0,U4,0)</f>
        <v>0</v>
      </c>
      <c r="W4" s="4">
        <f t="shared" ref="W4:W67" si="13">IF(U4&lt;0,U4,0)</f>
        <v>-40974075.815649226</v>
      </c>
      <c r="X4" s="5">
        <f t="shared" ref="X4:X67" si="14">H4+U4</f>
        <v>181002000</v>
      </c>
      <c r="Y4" s="5">
        <f t="shared" ref="Y4:Z67" si="15">O4-V4</f>
        <v>0</v>
      </c>
      <c r="Z4" s="5">
        <f t="shared" si="15"/>
        <v>0</v>
      </c>
      <c r="AB4" s="5">
        <f t="shared" si="3"/>
        <v>-18</v>
      </c>
      <c r="AC4" s="4">
        <f t="shared" ref="AC4:AC67" si="16">T4*AB4</f>
        <v>-205957.18374647867</v>
      </c>
      <c r="AD4" s="4">
        <f t="shared" ref="AD4:AD67" si="17">L4*AB4</f>
        <v>-167940</v>
      </c>
      <c r="AE4" s="5">
        <f t="shared" ref="AE4:AE67" si="18">IF(AB4&gt;0,AC4-AD4,0)</f>
        <v>0</v>
      </c>
      <c r="AF4" s="3" t="str">
        <f t="shared" ref="AF4:AF67" si="19">IF(AE4&gt;0,"Y","N")</f>
        <v>N</v>
      </c>
      <c r="AH4" s="4">
        <f t="shared" ref="AH4:AH67" si="20">K4*T4</f>
        <v>221976075.81564924</v>
      </c>
      <c r="AI4" s="4">
        <f t="shared" ref="AI4:AI67" si="21">K4*L4</f>
        <v>181002000</v>
      </c>
    </row>
    <row r="5" spans="1:36">
      <c r="A5" s="3">
        <v>3</v>
      </c>
      <c r="B5" s="3" t="s">
        <v>669</v>
      </c>
      <c r="C5" s="3" t="s">
        <v>667</v>
      </c>
      <c r="D5" s="4">
        <v>28861</v>
      </c>
      <c r="E5" s="4">
        <v>131405821.70116451</v>
      </c>
      <c r="F5" s="4">
        <v>0</v>
      </c>
      <c r="G5" s="4">
        <v>0</v>
      </c>
      <c r="H5" s="4">
        <f t="shared" si="4"/>
        <v>131405821.70116451</v>
      </c>
      <c r="I5" s="4">
        <f t="shared" si="5"/>
        <v>4553.0585115264375</v>
      </c>
      <c r="J5" s="4">
        <v>28868.6</v>
      </c>
      <c r="K5" s="5">
        <f t="shared" si="6"/>
        <v>28861</v>
      </c>
      <c r="L5" s="4">
        <v>4900</v>
      </c>
      <c r="M5" s="4">
        <f t="shared" si="2"/>
        <v>141418900</v>
      </c>
      <c r="N5" s="4">
        <f t="shared" si="7"/>
        <v>10013078.298835486</v>
      </c>
      <c r="O5" s="4">
        <f t="shared" si="8"/>
        <v>10013078.298835486</v>
      </c>
      <c r="P5" s="4">
        <f t="shared" si="9"/>
        <v>0</v>
      </c>
      <c r="T5" s="4">
        <f t="shared" si="10"/>
        <v>4553.0585115264375</v>
      </c>
      <c r="U5" s="4">
        <f t="shared" si="11"/>
        <v>10013078.298835486</v>
      </c>
      <c r="V5" s="4">
        <f t="shared" si="12"/>
        <v>10013078.298835486</v>
      </c>
      <c r="W5" s="4">
        <f t="shared" si="13"/>
        <v>0</v>
      </c>
      <c r="X5" s="5">
        <f t="shared" si="14"/>
        <v>141418900</v>
      </c>
      <c r="Y5" s="5">
        <f t="shared" si="15"/>
        <v>0</v>
      </c>
      <c r="Z5" s="5">
        <f t="shared" si="15"/>
        <v>0</v>
      </c>
      <c r="AB5" s="5">
        <f t="shared" si="3"/>
        <v>-7.5999999999985448</v>
      </c>
      <c r="AC5" s="4">
        <f t="shared" si="16"/>
        <v>-34603.244687594299</v>
      </c>
      <c r="AD5" s="4">
        <f t="shared" si="17"/>
        <v>-37239.99999999287</v>
      </c>
      <c r="AE5" s="5">
        <f t="shared" si="18"/>
        <v>0</v>
      </c>
      <c r="AF5" s="3" t="str">
        <f t="shared" si="19"/>
        <v>N</v>
      </c>
      <c r="AH5" s="4">
        <f t="shared" si="20"/>
        <v>131405821.70116451</v>
      </c>
      <c r="AI5" s="4">
        <f t="shared" si="21"/>
        <v>141418900</v>
      </c>
    </row>
    <row r="6" spans="1:36">
      <c r="A6" s="3">
        <v>4</v>
      </c>
      <c r="B6" s="3" t="s">
        <v>670</v>
      </c>
      <c r="C6" s="3" t="s">
        <v>667</v>
      </c>
      <c r="D6" s="4">
        <v>24600</v>
      </c>
      <c r="E6" s="4">
        <v>144940198.99392188</v>
      </c>
      <c r="F6" s="4">
        <v>0</v>
      </c>
      <c r="G6" s="4">
        <v>0</v>
      </c>
      <c r="H6" s="4">
        <f t="shared" si="4"/>
        <v>144940198.99392188</v>
      </c>
      <c r="I6" s="4">
        <f t="shared" si="5"/>
        <v>5891.8780078830032</v>
      </c>
      <c r="J6" s="4">
        <v>24561</v>
      </c>
      <c r="K6" s="5">
        <f t="shared" si="6"/>
        <v>24561</v>
      </c>
      <c r="L6" s="4">
        <v>5790</v>
      </c>
      <c r="M6" s="4">
        <f t="shared" si="2"/>
        <v>142437973.24230742</v>
      </c>
      <c r="N6" s="4">
        <f t="shared" si="7"/>
        <v>-2502225.7516144416</v>
      </c>
      <c r="O6" s="4">
        <f t="shared" si="8"/>
        <v>0</v>
      </c>
      <c r="P6" s="4">
        <f t="shared" si="9"/>
        <v>-2502225.7516144416</v>
      </c>
      <c r="T6" s="4">
        <f t="shared" si="10"/>
        <v>5891.8780078830032</v>
      </c>
      <c r="U6" s="4">
        <f t="shared" si="11"/>
        <v>-2502225.7516144416</v>
      </c>
      <c r="V6" s="4">
        <f t="shared" si="12"/>
        <v>0</v>
      </c>
      <c r="W6" s="4">
        <f t="shared" si="13"/>
        <v>-2502225.7516144416</v>
      </c>
      <c r="X6" s="5">
        <f t="shared" si="14"/>
        <v>142437973.24230742</v>
      </c>
      <c r="Y6" s="5">
        <f t="shared" si="15"/>
        <v>0</v>
      </c>
      <c r="Z6" s="5">
        <f t="shared" si="15"/>
        <v>0</v>
      </c>
      <c r="AB6" s="5">
        <f t="shared" si="3"/>
        <v>39</v>
      </c>
      <c r="AC6" s="4">
        <f t="shared" si="16"/>
        <v>229783.24230743712</v>
      </c>
      <c r="AD6" s="4">
        <f t="shared" si="17"/>
        <v>225810</v>
      </c>
      <c r="AE6" s="5">
        <f t="shared" si="18"/>
        <v>3973.2423074371181</v>
      </c>
      <c r="AF6" s="3" t="str">
        <f t="shared" si="19"/>
        <v>Y</v>
      </c>
      <c r="AH6" s="4">
        <f t="shared" si="20"/>
        <v>144710415.75161445</v>
      </c>
      <c r="AI6" s="4">
        <f t="shared" si="21"/>
        <v>142208190</v>
      </c>
    </row>
    <row r="7" spans="1:36">
      <c r="A7" s="3">
        <v>5</v>
      </c>
      <c r="B7" s="3" t="s">
        <v>671</v>
      </c>
      <c r="C7" s="3" t="s">
        <v>667</v>
      </c>
      <c r="D7" s="4">
        <v>2500</v>
      </c>
      <c r="E7" s="4">
        <v>88684028.093045175</v>
      </c>
      <c r="F7" s="4">
        <v>0</v>
      </c>
      <c r="G7" s="4">
        <v>0</v>
      </c>
      <c r="H7" s="4">
        <f t="shared" si="4"/>
        <v>88684028.093045175</v>
      </c>
      <c r="I7" s="4">
        <f t="shared" si="5"/>
        <v>35473.611237218072</v>
      </c>
      <c r="J7" s="4">
        <v>2420.1999999999998</v>
      </c>
      <c r="K7" s="5">
        <f t="shared" si="6"/>
        <v>2420.1999999999998</v>
      </c>
      <c r="L7" s="4">
        <v>35000</v>
      </c>
      <c r="M7" s="4">
        <f t="shared" si="2"/>
        <v>87537794.176729992</v>
      </c>
      <c r="N7" s="4">
        <f t="shared" si="7"/>
        <v>-1146233.9163151786</v>
      </c>
      <c r="O7" s="4">
        <f t="shared" si="8"/>
        <v>0</v>
      </c>
      <c r="P7" s="4">
        <f t="shared" si="9"/>
        <v>-1146233.9163151786</v>
      </c>
      <c r="T7" s="4">
        <f t="shared" si="10"/>
        <v>35473.611237218072</v>
      </c>
      <c r="U7" s="4">
        <f t="shared" si="11"/>
        <v>-1146233.9163151786</v>
      </c>
      <c r="V7" s="4">
        <f t="shared" si="12"/>
        <v>0</v>
      </c>
      <c r="W7" s="4">
        <f t="shared" si="13"/>
        <v>-1146233.9163151786</v>
      </c>
      <c r="X7" s="5">
        <f t="shared" si="14"/>
        <v>87537794.176729992</v>
      </c>
      <c r="Y7" s="5">
        <f t="shared" si="15"/>
        <v>0</v>
      </c>
      <c r="Z7" s="5">
        <f t="shared" si="15"/>
        <v>0</v>
      </c>
      <c r="AB7" s="5">
        <f t="shared" si="3"/>
        <v>79.800000000000182</v>
      </c>
      <c r="AC7" s="4">
        <f t="shared" si="16"/>
        <v>2830794.1767300088</v>
      </c>
      <c r="AD7" s="4">
        <f t="shared" si="17"/>
        <v>2793000.0000000065</v>
      </c>
      <c r="AE7" s="5">
        <f t="shared" si="18"/>
        <v>37794.176730002277</v>
      </c>
      <c r="AF7" s="3" t="str">
        <f t="shared" si="19"/>
        <v>Y</v>
      </c>
      <c r="AH7" s="4">
        <f t="shared" si="20"/>
        <v>85853233.916315168</v>
      </c>
      <c r="AI7" s="4">
        <f t="shared" si="21"/>
        <v>84707000</v>
      </c>
    </row>
    <row r="8" spans="1:36">
      <c r="A8" s="3">
        <v>6</v>
      </c>
      <c r="B8" s="3" t="s">
        <v>672</v>
      </c>
      <c r="C8" s="3" t="s">
        <v>667</v>
      </c>
      <c r="D8" s="4">
        <v>46603</v>
      </c>
      <c r="E8" s="4">
        <v>865076684.33110237</v>
      </c>
      <c r="F8" s="4">
        <v>0</v>
      </c>
      <c r="G8" s="4">
        <v>0</v>
      </c>
      <c r="H8" s="4">
        <f t="shared" si="4"/>
        <v>865076684.33110237</v>
      </c>
      <c r="I8" s="4">
        <f t="shared" si="5"/>
        <v>18562.682323693803</v>
      </c>
      <c r="J8" s="4">
        <v>46496.9</v>
      </c>
      <c r="K8" s="5">
        <f t="shared" si="6"/>
        <v>46496.9</v>
      </c>
      <c r="L8" s="4">
        <v>23900</v>
      </c>
      <c r="M8" s="4">
        <f t="shared" si="2"/>
        <v>1113245410.5945439</v>
      </c>
      <c r="N8" s="4">
        <f t="shared" si="7"/>
        <v>248168726.26344159</v>
      </c>
      <c r="O8" s="4">
        <f t="shared" si="8"/>
        <v>248168726.26344159</v>
      </c>
      <c r="P8" s="4">
        <f t="shared" si="9"/>
        <v>0</v>
      </c>
      <c r="T8" s="4">
        <f t="shared" si="10"/>
        <v>18562.682323693803</v>
      </c>
      <c r="U8" s="4">
        <f t="shared" si="11"/>
        <v>248168726.26344159</v>
      </c>
      <c r="V8" s="4">
        <f t="shared" si="12"/>
        <v>248168726.26344159</v>
      </c>
      <c r="W8" s="4">
        <f t="shared" si="13"/>
        <v>0</v>
      </c>
      <c r="X8" s="5">
        <f t="shared" si="14"/>
        <v>1113245410.5945439</v>
      </c>
      <c r="Y8" s="5">
        <f t="shared" si="15"/>
        <v>0</v>
      </c>
      <c r="Z8" s="5">
        <f t="shared" si="15"/>
        <v>0</v>
      </c>
      <c r="AB8" s="5">
        <f t="shared" si="3"/>
        <v>106.09999999999854</v>
      </c>
      <c r="AC8" s="4">
        <f t="shared" si="16"/>
        <v>1969500.5945438854</v>
      </c>
      <c r="AD8" s="4">
        <f t="shared" si="17"/>
        <v>2535789.9999999651</v>
      </c>
      <c r="AE8" s="5">
        <f t="shared" si="18"/>
        <v>-566289.40545607964</v>
      </c>
      <c r="AF8" s="3" t="str">
        <f t="shared" si="19"/>
        <v>N</v>
      </c>
      <c r="AH8" s="4">
        <f t="shared" si="20"/>
        <v>863107183.73655844</v>
      </c>
      <c r="AI8" s="4">
        <f t="shared" si="21"/>
        <v>1111275910</v>
      </c>
    </row>
    <row r="9" spans="1:36">
      <c r="A9" s="3">
        <v>7</v>
      </c>
      <c r="B9" s="3" t="s">
        <v>673</v>
      </c>
      <c r="C9" s="3" t="s">
        <v>667</v>
      </c>
      <c r="D9" s="4">
        <v>17900</v>
      </c>
      <c r="E9" s="4">
        <v>253979885.24960873</v>
      </c>
      <c r="F9" s="4">
        <v>0</v>
      </c>
      <c r="G9" s="4">
        <v>0</v>
      </c>
      <c r="H9" s="4">
        <f t="shared" si="4"/>
        <v>253979885.24960873</v>
      </c>
      <c r="I9" s="4">
        <f t="shared" si="5"/>
        <v>14188.820405006074</v>
      </c>
      <c r="J9" s="4">
        <v>17819.2</v>
      </c>
      <c r="K9" s="5">
        <f t="shared" si="6"/>
        <v>17819.2</v>
      </c>
      <c r="L9" s="4">
        <v>12350</v>
      </c>
      <c r="M9" s="4">
        <f t="shared" si="2"/>
        <v>221213576.68872449</v>
      </c>
      <c r="N9" s="4">
        <f t="shared" si="7"/>
        <v>-32766308.560884234</v>
      </c>
      <c r="O9" s="4">
        <f t="shared" si="8"/>
        <v>0</v>
      </c>
      <c r="P9" s="4">
        <f t="shared" si="9"/>
        <v>-32766308.560884234</v>
      </c>
      <c r="T9" s="4">
        <f t="shared" si="10"/>
        <v>14188.820405006074</v>
      </c>
      <c r="U9" s="4">
        <f t="shared" si="11"/>
        <v>-32766308.560884234</v>
      </c>
      <c r="V9" s="4">
        <f t="shared" si="12"/>
        <v>0</v>
      </c>
      <c r="W9" s="4">
        <f t="shared" si="13"/>
        <v>-32766308.560884234</v>
      </c>
      <c r="X9" s="5">
        <f t="shared" si="14"/>
        <v>221213576.68872449</v>
      </c>
      <c r="Y9" s="5">
        <f t="shared" si="15"/>
        <v>0</v>
      </c>
      <c r="Z9" s="5">
        <f t="shared" si="15"/>
        <v>0</v>
      </c>
      <c r="AB9" s="5">
        <f t="shared" si="3"/>
        <v>80.799999999999272</v>
      </c>
      <c r="AC9" s="4">
        <f t="shared" si="16"/>
        <v>1146456.6887244806</v>
      </c>
      <c r="AD9" s="4">
        <f t="shared" si="17"/>
        <v>997879.99999999104</v>
      </c>
      <c r="AE9" s="5">
        <f t="shared" si="18"/>
        <v>148576.68872448953</v>
      </c>
      <c r="AF9" s="3" t="str">
        <f t="shared" si="19"/>
        <v>Y</v>
      </c>
      <c r="AH9" s="4">
        <f t="shared" si="20"/>
        <v>252833428.56088424</v>
      </c>
      <c r="AI9" s="4">
        <f t="shared" si="21"/>
        <v>220067120</v>
      </c>
    </row>
    <row r="10" spans="1:36">
      <c r="A10" s="3">
        <v>8</v>
      </c>
      <c r="B10" s="3" t="s">
        <v>674</v>
      </c>
      <c r="C10" s="3" t="s">
        <v>667</v>
      </c>
      <c r="D10" s="4">
        <v>13700</v>
      </c>
      <c r="E10" s="4">
        <v>171846886.89744377</v>
      </c>
      <c r="F10" s="4">
        <v>0</v>
      </c>
      <c r="G10" s="4">
        <v>0</v>
      </c>
      <c r="H10" s="4">
        <f t="shared" si="4"/>
        <v>171846886.89744377</v>
      </c>
      <c r="I10" s="4">
        <f t="shared" si="5"/>
        <v>12543.568386674728</v>
      </c>
      <c r="J10" s="4">
        <v>13761.3</v>
      </c>
      <c r="K10" s="5">
        <f t="shared" si="6"/>
        <v>13700</v>
      </c>
      <c r="L10" s="4">
        <v>11850</v>
      </c>
      <c r="M10" s="4">
        <f t="shared" si="2"/>
        <v>162345000</v>
      </c>
      <c r="N10" s="4">
        <f t="shared" si="7"/>
        <v>-9501886.8974437695</v>
      </c>
      <c r="O10" s="4">
        <f t="shared" si="8"/>
        <v>0</v>
      </c>
      <c r="P10" s="4">
        <f t="shared" si="9"/>
        <v>-9501886.8974437695</v>
      </c>
      <c r="T10" s="4">
        <f t="shared" si="10"/>
        <v>12543.568386674728</v>
      </c>
      <c r="U10" s="4">
        <f t="shared" si="11"/>
        <v>-9501886.8974437695</v>
      </c>
      <c r="V10" s="4">
        <f t="shared" si="12"/>
        <v>0</v>
      </c>
      <c r="W10" s="4">
        <f t="shared" si="13"/>
        <v>-9501886.8974437695</v>
      </c>
      <c r="X10" s="5">
        <f t="shared" si="14"/>
        <v>162345000</v>
      </c>
      <c r="Y10" s="5">
        <f t="shared" si="15"/>
        <v>0</v>
      </c>
      <c r="Z10" s="5">
        <f t="shared" si="15"/>
        <v>0</v>
      </c>
      <c r="AB10" s="5">
        <f t="shared" si="3"/>
        <v>-61.299999999999272</v>
      </c>
      <c r="AC10" s="4">
        <f t="shared" si="16"/>
        <v>-768920.74210315163</v>
      </c>
      <c r="AD10" s="4">
        <f t="shared" si="17"/>
        <v>-726404.99999999139</v>
      </c>
      <c r="AE10" s="5">
        <f t="shared" si="18"/>
        <v>0</v>
      </c>
      <c r="AF10" s="3" t="str">
        <f t="shared" si="19"/>
        <v>N</v>
      </c>
      <c r="AH10" s="4">
        <f t="shared" si="20"/>
        <v>171846886.89744377</v>
      </c>
      <c r="AI10" s="4">
        <f t="shared" si="21"/>
        <v>162345000</v>
      </c>
    </row>
    <row r="11" spans="1:36">
      <c r="A11" s="3">
        <v>9</v>
      </c>
      <c r="B11" s="3" t="s">
        <v>675</v>
      </c>
      <c r="C11" s="3" t="s">
        <v>667</v>
      </c>
      <c r="D11" s="4">
        <v>720</v>
      </c>
      <c r="E11" s="4">
        <v>24660736.654387295</v>
      </c>
      <c r="F11" s="4">
        <v>0</v>
      </c>
      <c r="G11" s="4">
        <v>0</v>
      </c>
      <c r="H11" s="4">
        <f t="shared" si="4"/>
        <v>24660736.654387295</v>
      </c>
      <c r="I11" s="4">
        <f t="shared" si="5"/>
        <v>34251.023131093469</v>
      </c>
      <c r="J11" s="4">
        <v>707.8</v>
      </c>
      <c r="K11" s="5">
        <f t="shared" si="6"/>
        <v>707.8</v>
      </c>
      <c r="L11" s="4">
        <v>21500</v>
      </c>
      <c r="M11" s="4">
        <f t="shared" si="2"/>
        <v>15635562.482199339</v>
      </c>
      <c r="N11" s="4">
        <f t="shared" si="7"/>
        <v>-9025174.1721879561</v>
      </c>
      <c r="O11" s="4">
        <f t="shared" si="8"/>
        <v>0</v>
      </c>
      <c r="P11" s="4">
        <f t="shared" si="9"/>
        <v>-9025174.1721879561</v>
      </c>
      <c r="T11" s="4">
        <f t="shared" si="10"/>
        <v>34251.023131093469</v>
      </c>
      <c r="U11" s="4">
        <f t="shared" si="11"/>
        <v>-9025174.1721879561</v>
      </c>
      <c r="V11" s="4">
        <f t="shared" si="12"/>
        <v>0</v>
      </c>
      <c r="W11" s="4">
        <f t="shared" si="13"/>
        <v>-9025174.1721879561</v>
      </c>
      <c r="X11" s="5">
        <f t="shared" si="14"/>
        <v>15635562.482199339</v>
      </c>
      <c r="Y11" s="5">
        <f t="shared" si="15"/>
        <v>0</v>
      </c>
      <c r="Z11" s="5">
        <f t="shared" si="15"/>
        <v>0</v>
      </c>
      <c r="AB11" s="5">
        <f t="shared" si="3"/>
        <v>12.200000000000045</v>
      </c>
      <c r="AC11" s="4">
        <f t="shared" si="16"/>
        <v>417862.48219934187</v>
      </c>
      <c r="AD11" s="4">
        <f t="shared" si="17"/>
        <v>262300.00000000099</v>
      </c>
      <c r="AE11" s="5">
        <f t="shared" si="18"/>
        <v>155562.48219934088</v>
      </c>
      <c r="AF11" s="3" t="str">
        <f t="shared" si="19"/>
        <v>Y</v>
      </c>
      <c r="AH11" s="4">
        <f t="shared" si="20"/>
        <v>24242874.172187954</v>
      </c>
      <c r="AI11" s="4">
        <f t="shared" si="21"/>
        <v>15217699.999999998</v>
      </c>
    </row>
    <row r="12" spans="1:36">
      <c r="A12" s="3">
        <v>10</v>
      </c>
      <c r="B12" s="3" t="s">
        <v>676</v>
      </c>
      <c r="C12" s="3" t="s">
        <v>667</v>
      </c>
      <c r="D12" s="4">
        <v>3064</v>
      </c>
      <c r="E12" s="4">
        <v>30010789.454795141</v>
      </c>
      <c r="F12" s="4">
        <v>0</v>
      </c>
      <c r="G12" s="4">
        <v>0</v>
      </c>
      <c r="H12" s="4">
        <f t="shared" si="4"/>
        <v>30010789.454795141</v>
      </c>
      <c r="I12" s="4">
        <f t="shared" si="5"/>
        <v>9794.6440779357508</v>
      </c>
      <c r="J12" s="4">
        <v>2926.3</v>
      </c>
      <c r="K12" s="5">
        <f t="shared" si="6"/>
        <v>2926.3</v>
      </c>
      <c r="L12" s="4">
        <v>13200</v>
      </c>
      <c r="M12" s="4">
        <f t="shared" si="2"/>
        <v>39975882.489531755</v>
      </c>
      <c r="N12" s="4">
        <f t="shared" si="7"/>
        <v>9965093.0347366128</v>
      </c>
      <c r="O12" s="4">
        <f t="shared" si="8"/>
        <v>9965093.0347366128</v>
      </c>
      <c r="P12" s="4">
        <f t="shared" si="9"/>
        <v>0</v>
      </c>
      <c r="T12" s="4">
        <f t="shared" si="10"/>
        <v>9794.6440779357508</v>
      </c>
      <c r="U12" s="4">
        <f t="shared" si="11"/>
        <v>9965093.0347366128</v>
      </c>
      <c r="V12" s="4">
        <f t="shared" si="12"/>
        <v>9965093.0347366128</v>
      </c>
      <c r="W12" s="4">
        <f t="shared" si="13"/>
        <v>0</v>
      </c>
      <c r="X12" s="5">
        <f t="shared" si="14"/>
        <v>39975882.489531755</v>
      </c>
      <c r="Y12" s="5">
        <f t="shared" si="15"/>
        <v>0</v>
      </c>
      <c r="Z12" s="5">
        <f t="shared" si="15"/>
        <v>0</v>
      </c>
      <c r="AB12" s="5">
        <f t="shared" si="3"/>
        <v>137.69999999999982</v>
      </c>
      <c r="AC12" s="4">
        <f t="shared" si="16"/>
        <v>1348722.489531751</v>
      </c>
      <c r="AD12" s="4">
        <f t="shared" si="17"/>
        <v>1817639.9999999977</v>
      </c>
      <c r="AE12" s="5">
        <f t="shared" si="18"/>
        <v>-468917.51046824665</v>
      </c>
      <c r="AF12" s="3" t="str">
        <f t="shared" si="19"/>
        <v>N</v>
      </c>
      <c r="AH12" s="4">
        <f t="shared" si="20"/>
        <v>28662066.965263389</v>
      </c>
      <c r="AI12" s="4">
        <f t="shared" si="21"/>
        <v>38627160</v>
      </c>
    </row>
    <row r="13" spans="1:36">
      <c r="A13" s="3">
        <v>11</v>
      </c>
      <c r="B13" s="3" t="s">
        <v>677</v>
      </c>
      <c r="C13" s="3" t="s">
        <v>667</v>
      </c>
      <c r="D13" s="4">
        <v>4660</v>
      </c>
      <c r="E13" s="4">
        <v>154127561.07602587</v>
      </c>
      <c r="F13" s="4">
        <v>0</v>
      </c>
      <c r="G13" s="4">
        <v>0</v>
      </c>
      <c r="H13" s="4">
        <f t="shared" si="4"/>
        <v>154127561.07602587</v>
      </c>
      <c r="I13" s="4">
        <f t="shared" si="5"/>
        <v>33074.583921893965</v>
      </c>
      <c r="J13" s="4">
        <v>4614.8</v>
      </c>
      <c r="K13" s="5">
        <f t="shared" si="6"/>
        <v>4614.8</v>
      </c>
      <c r="L13" s="4">
        <v>26500</v>
      </c>
      <c r="M13" s="4">
        <f t="shared" si="2"/>
        <v>123787171.1932696</v>
      </c>
      <c r="N13" s="4">
        <f t="shared" si="7"/>
        <v>-30340389.882756274</v>
      </c>
      <c r="O13" s="4">
        <f t="shared" si="8"/>
        <v>0</v>
      </c>
      <c r="P13" s="4">
        <f t="shared" si="9"/>
        <v>-30340389.882756274</v>
      </c>
      <c r="T13" s="4">
        <f t="shared" si="10"/>
        <v>33074.583921893965</v>
      </c>
      <c r="U13" s="4">
        <f t="shared" si="11"/>
        <v>-30340389.882756274</v>
      </c>
      <c r="V13" s="4">
        <f t="shared" si="12"/>
        <v>0</v>
      </c>
      <c r="W13" s="4">
        <f t="shared" si="13"/>
        <v>-30340389.882756274</v>
      </c>
      <c r="X13" s="5">
        <f t="shared" si="14"/>
        <v>123787171.1932696</v>
      </c>
      <c r="Y13" s="5">
        <f t="shared" si="15"/>
        <v>0</v>
      </c>
      <c r="Z13" s="5">
        <f t="shared" si="15"/>
        <v>0</v>
      </c>
      <c r="AB13" s="5">
        <f t="shared" si="3"/>
        <v>45.199999999999818</v>
      </c>
      <c r="AC13" s="4">
        <f t="shared" si="16"/>
        <v>1494971.1932696013</v>
      </c>
      <c r="AD13" s="4">
        <f t="shared" si="17"/>
        <v>1197799.9999999951</v>
      </c>
      <c r="AE13" s="5">
        <f t="shared" si="18"/>
        <v>297171.19326960621</v>
      </c>
      <c r="AF13" s="3" t="str">
        <f t="shared" si="19"/>
        <v>Y</v>
      </c>
      <c r="AH13" s="4">
        <f t="shared" si="20"/>
        <v>152632589.88275626</v>
      </c>
      <c r="AI13" s="4">
        <f t="shared" si="21"/>
        <v>122292200</v>
      </c>
    </row>
    <row r="14" spans="1:36">
      <c r="A14" s="3">
        <v>12</v>
      </c>
      <c r="B14" s="3" t="s">
        <v>678</v>
      </c>
      <c r="C14" s="3" t="s">
        <v>667</v>
      </c>
      <c r="D14" s="4">
        <v>15900</v>
      </c>
      <c r="E14" s="4">
        <v>98864426.481063813</v>
      </c>
      <c r="F14" s="4">
        <v>0</v>
      </c>
      <c r="G14" s="4">
        <v>0</v>
      </c>
      <c r="H14" s="4">
        <f t="shared" si="4"/>
        <v>98864426.481063813</v>
      </c>
      <c r="I14" s="4">
        <f t="shared" si="5"/>
        <v>6217.8884579285414</v>
      </c>
      <c r="J14" s="4">
        <v>15734</v>
      </c>
      <c r="K14" s="5">
        <f t="shared" si="6"/>
        <v>15734</v>
      </c>
      <c r="L14" s="4">
        <v>6280</v>
      </c>
      <c r="M14" s="4">
        <f t="shared" si="2"/>
        <v>99841689.48401615</v>
      </c>
      <c r="N14" s="4">
        <f t="shared" si="7"/>
        <v>977263.00295233028</v>
      </c>
      <c r="O14" s="4">
        <f t="shared" si="8"/>
        <v>977263.00295233028</v>
      </c>
      <c r="P14" s="4">
        <f t="shared" si="9"/>
        <v>0</v>
      </c>
      <c r="T14" s="4">
        <f t="shared" si="10"/>
        <v>6217.8884579285414</v>
      </c>
      <c r="U14" s="4">
        <f t="shared" si="11"/>
        <v>977263.00295233028</v>
      </c>
      <c r="V14" s="4">
        <f t="shared" si="12"/>
        <v>977263.00295233028</v>
      </c>
      <c r="W14" s="4">
        <f t="shared" si="13"/>
        <v>0</v>
      </c>
      <c r="X14" s="5">
        <f t="shared" si="14"/>
        <v>99841689.48401615</v>
      </c>
      <c r="Y14" s="5">
        <f t="shared" si="15"/>
        <v>0</v>
      </c>
      <c r="Z14" s="5">
        <f t="shared" si="15"/>
        <v>0</v>
      </c>
      <c r="AB14" s="5">
        <f t="shared" si="3"/>
        <v>166</v>
      </c>
      <c r="AC14" s="4">
        <f t="shared" si="16"/>
        <v>1032169.4840161379</v>
      </c>
      <c r="AD14" s="4">
        <f t="shared" si="17"/>
        <v>1042480</v>
      </c>
      <c r="AE14" s="5">
        <f t="shared" si="18"/>
        <v>-10310.515983862104</v>
      </c>
      <c r="AF14" s="3" t="str">
        <f t="shared" si="19"/>
        <v>N</v>
      </c>
      <c r="AH14" s="4">
        <f t="shared" si="20"/>
        <v>97832256.997047663</v>
      </c>
      <c r="AI14" s="4">
        <f t="shared" si="21"/>
        <v>98809520</v>
      </c>
    </row>
    <row r="15" spans="1:36">
      <c r="A15" s="3">
        <v>13</v>
      </c>
      <c r="B15" s="3" t="s">
        <v>679</v>
      </c>
      <c r="C15" s="3" t="s">
        <v>667</v>
      </c>
      <c r="D15" s="4">
        <v>42620</v>
      </c>
      <c r="E15" s="4">
        <v>421921314.91705805</v>
      </c>
      <c r="F15" s="4">
        <v>0</v>
      </c>
      <c r="G15" s="4">
        <v>0</v>
      </c>
      <c r="H15" s="4">
        <f t="shared" si="4"/>
        <v>421921314.91705805</v>
      </c>
      <c r="I15" s="4">
        <f t="shared" si="5"/>
        <v>9899.608515182028</v>
      </c>
      <c r="J15" s="4">
        <v>39084.800000000003</v>
      </c>
      <c r="K15" s="5">
        <f t="shared" si="6"/>
        <v>39084.800000000003</v>
      </c>
      <c r="L15" s="4">
        <v>16050</v>
      </c>
      <c r="M15" s="4">
        <f t="shared" si="2"/>
        <v>662308136.02287149</v>
      </c>
      <c r="N15" s="4">
        <f t="shared" si="7"/>
        <v>240386821.1058135</v>
      </c>
      <c r="O15" s="4">
        <f t="shared" si="8"/>
        <v>240386821.1058135</v>
      </c>
      <c r="P15" s="4">
        <f t="shared" si="9"/>
        <v>0</v>
      </c>
      <c r="T15" s="4">
        <f t="shared" si="10"/>
        <v>9899.608515182028</v>
      </c>
      <c r="U15" s="4">
        <f t="shared" si="11"/>
        <v>240386821.1058135</v>
      </c>
      <c r="V15" s="4">
        <f t="shared" si="12"/>
        <v>240386821.1058135</v>
      </c>
      <c r="W15" s="4">
        <f t="shared" si="13"/>
        <v>0</v>
      </c>
      <c r="X15" s="5">
        <f t="shared" si="14"/>
        <v>662308136.02287149</v>
      </c>
      <c r="Y15" s="5">
        <f t="shared" si="15"/>
        <v>0</v>
      </c>
      <c r="Z15" s="5">
        <f t="shared" si="15"/>
        <v>0</v>
      </c>
      <c r="AB15" s="5">
        <f t="shared" si="3"/>
        <v>3535.1999999999971</v>
      </c>
      <c r="AC15" s="4">
        <f t="shared" si="16"/>
        <v>34997096.022871479</v>
      </c>
      <c r="AD15" s="4">
        <f t="shared" si="17"/>
        <v>56739959.999999955</v>
      </c>
      <c r="AE15" s="5">
        <f t="shared" si="18"/>
        <v>-21742863.977128476</v>
      </c>
      <c r="AF15" s="3" t="str">
        <f t="shared" si="19"/>
        <v>N</v>
      </c>
      <c r="AH15" s="4">
        <f t="shared" si="20"/>
        <v>386924218.89418656</v>
      </c>
      <c r="AI15" s="4">
        <f t="shared" si="21"/>
        <v>627311040</v>
      </c>
    </row>
    <row r="16" spans="1:36">
      <c r="A16" s="3">
        <v>14</v>
      </c>
      <c r="B16" s="3" t="s">
        <v>680</v>
      </c>
      <c r="C16" s="3" t="s">
        <v>667</v>
      </c>
      <c r="D16" s="4">
        <v>256700</v>
      </c>
      <c r="E16" s="4">
        <v>1168940358.1062059</v>
      </c>
      <c r="F16" s="4">
        <v>0</v>
      </c>
      <c r="G16" s="4">
        <v>0</v>
      </c>
      <c r="H16" s="4">
        <f t="shared" si="4"/>
        <v>1168940358.1062059</v>
      </c>
      <c r="I16" s="4">
        <f t="shared" si="5"/>
        <v>4553.7216911032565</v>
      </c>
      <c r="J16" s="4">
        <v>256957.3</v>
      </c>
      <c r="K16" s="5">
        <f t="shared" si="6"/>
        <v>256700</v>
      </c>
      <c r="L16" s="4">
        <v>1100</v>
      </c>
      <c r="M16" s="4">
        <f t="shared" si="2"/>
        <v>282370000</v>
      </c>
      <c r="N16" s="4">
        <f t="shared" si="7"/>
        <v>-886570358.10620594</v>
      </c>
      <c r="O16" s="4">
        <f t="shared" si="8"/>
        <v>0</v>
      </c>
      <c r="P16" s="4">
        <f t="shared" si="9"/>
        <v>-886570358.10620594</v>
      </c>
      <c r="T16" s="4">
        <f t="shared" si="10"/>
        <v>4553.7216911032565</v>
      </c>
      <c r="U16" s="4">
        <f t="shared" si="11"/>
        <v>-886570358.10620594</v>
      </c>
      <c r="V16" s="4">
        <f t="shared" si="12"/>
        <v>0</v>
      </c>
      <c r="W16" s="4">
        <f t="shared" si="13"/>
        <v>-886570358.10620594</v>
      </c>
      <c r="X16" s="5">
        <f t="shared" si="14"/>
        <v>282370000</v>
      </c>
      <c r="Y16" s="5">
        <f t="shared" si="15"/>
        <v>0</v>
      </c>
      <c r="Z16" s="5">
        <f t="shared" si="15"/>
        <v>0</v>
      </c>
      <c r="AB16" s="5">
        <f t="shared" si="3"/>
        <v>-257.29999999998836</v>
      </c>
      <c r="AC16" s="4">
        <f t="shared" si="16"/>
        <v>-1171672.5911208149</v>
      </c>
      <c r="AD16" s="4">
        <f t="shared" si="17"/>
        <v>-283029.99999998719</v>
      </c>
      <c r="AE16" s="5">
        <f t="shared" si="18"/>
        <v>0</v>
      </c>
      <c r="AF16" s="3" t="str">
        <f t="shared" si="19"/>
        <v>N</v>
      </c>
      <c r="AH16" s="4">
        <f t="shared" si="20"/>
        <v>1168940358.1062059</v>
      </c>
      <c r="AI16" s="4">
        <f t="shared" si="21"/>
        <v>282370000</v>
      </c>
    </row>
    <row r="17" spans="1:35">
      <c r="A17" s="3">
        <v>15</v>
      </c>
      <c r="B17" s="3" t="s">
        <v>681</v>
      </c>
      <c r="C17" s="3" t="s">
        <v>667</v>
      </c>
      <c r="D17" s="4">
        <v>2600</v>
      </c>
      <c r="E17" s="4">
        <v>85418173.772415444</v>
      </c>
      <c r="F17" s="4">
        <v>0</v>
      </c>
      <c r="G17" s="4">
        <v>0</v>
      </c>
      <c r="H17" s="4">
        <f t="shared" si="4"/>
        <v>85418173.772415444</v>
      </c>
      <c r="I17" s="4">
        <f t="shared" si="5"/>
        <v>32853.143758621321</v>
      </c>
      <c r="J17" s="4">
        <v>2502.4</v>
      </c>
      <c r="K17" s="5">
        <f t="shared" si="6"/>
        <v>2502.4</v>
      </c>
      <c r="L17" s="4">
        <v>31100</v>
      </c>
      <c r="M17" s="4">
        <f t="shared" si="2"/>
        <v>81031106.830841452</v>
      </c>
      <c r="N17" s="4">
        <f t="shared" si="7"/>
        <v>-4387066.9415739952</v>
      </c>
      <c r="O17" s="4">
        <f t="shared" si="8"/>
        <v>0</v>
      </c>
      <c r="P17" s="4">
        <f t="shared" si="9"/>
        <v>-4387066.9415739952</v>
      </c>
      <c r="T17" s="4">
        <f t="shared" si="10"/>
        <v>32853.143758621321</v>
      </c>
      <c r="U17" s="4">
        <f t="shared" si="11"/>
        <v>-4387066.9415739952</v>
      </c>
      <c r="V17" s="4">
        <f t="shared" si="12"/>
        <v>0</v>
      </c>
      <c r="W17" s="4">
        <f t="shared" si="13"/>
        <v>-4387066.9415739952</v>
      </c>
      <c r="X17" s="5">
        <f t="shared" si="14"/>
        <v>81031106.830841452</v>
      </c>
      <c r="Y17" s="5">
        <f t="shared" si="15"/>
        <v>0</v>
      </c>
      <c r="Z17" s="5">
        <f t="shared" si="15"/>
        <v>0</v>
      </c>
      <c r="AB17" s="5">
        <f t="shared" si="3"/>
        <v>97.599999999999909</v>
      </c>
      <c r="AC17" s="4">
        <f t="shared" si="16"/>
        <v>3206466.8308414379</v>
      </c>
      <c r="AD17" s="4">
        <f t="shared" si="17"/>
        <v>3035359.9999999972</v>
      </c>
      <c r="AE17" s="5">
        <f t="shared" si="18"/>
        <v>171106.83084144071</v>
      </c>
      <c r="AF17" s="3" t="str">
        <f t="shared" si="19"/>
        <v>Y</v>
      </c>
      <c r="AH17" s="4">
        <f t="shared" si="20"/>
        <v>82211706.941573992</v>
      </c>
      <c r="AI17" s="4">
        <f t="shared" si="21"/>
        <v>77824640</v>
      </c>
    </row>
    <row r="18" spans="1:35">
      <c r="A18" s="3">
        <v>16</v>
      </c>
      <c r="B18" s="3" t="s">
        <v>682</v>
      </c>
      <c r="C18" s="3" t="s">
        <v>667</v>
      </c>
      <c r="D18" s="4">
        <v>2400</v>
      </c>
      <c r="E18" s="4">
        <v>33861185.175171442</v>
      </c>
      <c r="F18" s="4">
        <v>0</v>
      </c>
      <c r="G18" s="4">
        <v>0</v>
      </c>
      <c r="H18" s="4">
        <f t="shared" si="4"/>
        <v>33861185.175171442</v>
      </c>
      <c r="I18" s="4">
        <f t="shared" si="5"/>
        <v>14108.827156321435</v>
      </c>
      <c r="J18" s="4">
        <v>2356.1</v>
      </c>
      <c r="K18" s="5">
        <f t="shared" si="6"/>
        <v>2356.1</v>
      </c>
      <c r="L18" s="4">
        <v>9400</v>
      </c>
      <c r="M18" s="4">
        <f t="shared" si="2"/>
        <v>22766717.51216251</v>
      </c>
      <c r="N18" s="4">
        <f t="shared" si="7"/>
        <v>-11094467.663008932</v>
      </c>
      <c r="O18" s="4">
        <f t="shared" si="8"/>
        <v>0</v>
      </c>
      <c r="P18" s="4">
        <f t="shared" si="9"/>
        <v>-11094467.663008932</v>
      </c>
      <c r="T18" s="4">
        <f t="shared" si="10"/>
        <v>14108.827156321435</v>
      </c>
      <c r="U18" s="4">
        <f t="shared" si="11"/>
        <v>-11094467.663008932</v>
      </c>
      <c r="V18" s="4">
        <f t="shared" si="12"/>
        <v>0</v>
      </c>
      <c r="W18" s="4">
        <f t="shared" si="13"/>
        <v>-11094467.663008932</v>
      </c>
      <c r="X18" s="5">
        <f t="shared" si="14"/>
        <v>22766717.51216251</v>
      </c>
      <c r="Y18" s="5">
        <f t="shared" si="15"/>
        <v>0</v>
      </c>
      <c r="Z18" s="5">
        <f t="shared" si="15"/>
        <v>0</v>
      </c>
      <c r="AB18" s="5">
        <f t="shared" si="3"/>
        <v>43.900000000000091</v>
      </c>
      <c r="AC18" s="4">
        <f t="shared" si="16"/>
        <v>619377.51216251228</v>
      </c>
      <c r="AD18" s="4">
        <f t="shared" si="17"/>
        <v>412660.00000000087</v>
      </c>
      <c r="AE18" s="5">
        <f t="shared" si="18"/>
        <v>206717.51216251141</v>
      </c>
      <c r="AF18" s="3" t="str">
        <f t="shared" si="19"/>
        <v>Y</v>
      </c>
      <c r="AH18" s="4">
        <f t="shared" si="20"/>
        <v>33241807.663008932</v>
      </c>
      <c r="AI18" s="4">
        <f t="shared" si="21"/>
        <v>22147340</v>
      </c>
    </row>
    <row r="19" spans="1:35">
      <c r="A19" s="3">
        <v>17</v>
      </c>
      <c r="B19" s="3" t="s">
        <v>683</v>
      </c>
      <c r="C19" s="3" t="s">
        <v>667</v>
      </c>
      <c r="D19" s="4">
        <v>21800</v>
      </c>
      <c r="E19" s="4">
        <v>147316171.51282471</v>
      </c>
      <c r="F19" s="4">
        <v>0</v>
      </c>
      <c r="G19" s="4">
        <v>0</v>
      </c>
      <c r="H19" s="4">
        <f t="shared" si="4"/>
        <v>147316171.51282471</v>
      </c>
      <c r="I19" s="4">
        <f t="shared" si="5"/>
        <v>6757.6225464598492</v>
      </c>
      <c r="J19" s="4">
        <v>24516.7</v>
      </c>
      <c r="K19" s="5">
        <f t="shared" si="6"/>
        <v>21800</v>
      </c>
      <c r="L19" s="4">
        <v>12150</v>
      </c>
      <c r="M19" s="4">
        <f t="shared" si="2"/>
        <v>264870000</v>
      </c>
      <c r="N19" s="4">
        <f t="shared" si="7"/>
        <v>117553828.48717529</v>
      </c>
      <c r="O19" s="4">
        <f t="shared" si="8"/>
        <v>117553828.48717529</v>
      </c>
      <c r="P19" s="4">
        <f t="shared" si="9"/>
        <v>0</v>
      </c>
      <c r="T19" s="4">
        <f t="shared" si="10"/>
        <v>6757.6225464598492</v>
      </c>
      <c r="U19" s="4">
        <f t="shared" si="11"/>
        <v>117553828.48717529</v>
      </c>
      <c r="V19" s="4">
        <f t="shared" si="12"/>
        <v>117553828.48717529</v>
      </c>
      <c r="W19" s="4">
        <f t="shared" si="13"/>
        <v>0</v>
      </c>
      <c r="X19" s="5">
        <f t="shared" si="14"/>
        <v>264870000</v>
      </c>
      <c r="Y19" s="5">
        <f t="shared" si="15"/>
        <v>0</v>
      </c>
      <c r="Z19" s="5">
        <f t="shared" si="15"/>
        <v>0</v>
      </c>
      <c r="AB19" s="5">
        <f t="shared" si="3"/>
        <v>-2716.7000000000007</v>
      </c>
      <c r="AC19" s="4">
        <f t="shared" si="16"/>
        <v>-18358433.171967477</v>
      </c>
      <c r="AD19" s="4">
        <f t="shared" si="17"/>
        <v>-33007905.000000007</v>
      </c>
      <c r="AE19" s="5">
        <f t="shared" si="18"/>
        <v>0</v>
      </c>
      <c r="AF19" s="3" t="str">
        <f t="shared" si="19"/>
        <v>N</v>
      </c>
      <c r="AH19" s="4">
        <f t="shared" si="20"/>
        <v>147316171.51282471</v>
      </c>
      <c r="AI19" s="4">
        <f t="shared" si="21"/>
        <v>264870000</v>
      </c>
    </row>
    <row r="20" spans="1:35">
      <c r="A20" s="3">
        <v>18</v>
      </c>
      <c r="B20" s="3" t="s">
        <v>684</v>
      </c>
      <c r="C20" s="3" t="s">
        <v>667</v>
      </c>
      <c r="D20" s="4">
        <v>52000</v>
      </c>
      <c r="E20" s="4">
        <v>491689244.50022805</v>
      </c>
      <c r="F20" s="4">
        <v>0</v>
      </c>
      <c r="G20" s="4">
        <v>0</v>
      </c>
      <c r="H20" s="4">
        <f t="shared" si="4"/>
        <v>491689244.50022805</v>
      </c>
      <c r="I20" s="4">
        <f t="shared" si="5"/>
        <v>9455.562394235154</v>
      </c>
      <c r="J20" s="4">
        <v>51930</v>
      </c>
      <c r="K20" s="5">
        <f t="shared" si="6"/>
        <v>51930</v>
      </c>
      <c r="L20" s="4">
        <v>7680</v>
      </c>
      <c r="M20" s="4">
        <f t="shared" si="2"/>
        <v>399484289.36759651</v>
      </c>
      <c r="N20" s="4">
        <f t="shared" si="7"/>
        <v>-92204955.13263154</v>
      </c>
      <c r="O20" s="4">
        <f t="shared" si="8"/>
        <v>0</v>
      </c>
      <c r="P20" s="4">
        <f t="shared" si="9"/>
        <v>-92204955.13263154</v>
      </c>
      <c r="T20" s="4">
        <f t="shared" si="10"/>
        <v>9455.562394235154</v>
      </c>
      <c r="U20" s="4">
        <f t="shared" si="11"/>
        <v>-92204955.13263154</v>
      </c>
      <c r="V20" s="4">
        <f t="shared" si="12"/>
        <v>0</v>
      </c>
      <c r="W20" s="4">
        <f t="shared" si="13"/>
        <v>-92204955.13263154</v>
      </c>
      <c r="X20" s="5">
        <f t="shared" si="14"/>
        <v>399484289.36759651</v>
      </c>
      <c r="Y20" s="5">
        <f t="shared" si="15"/>
        <v>0</v>
      </c>
      <c r="Z20" s="5">
        <f t="shared" si="15"/>
        <v>0</v>
      </c>
      <c r="AB20" s="5">
        <f t="shared" si="3"/>
        <v>70</v>
      </c>
      <c r="AC20" s="4">
        <f t="shared" si="16"/>
        <v>661889.36759646074</v>
      </c>
      <c r="AD20" s="4">
        <f t="shared" si="17"/>
        <v>537600</v>
      </c>
      <c r="AE20" s="5">
        <f t="shared" si="18"/>
        <v>124289.36759646074</v>
      </c>
      <c r="AF20" s="3" t="str">
        <f t="shared" si="19"/>
        <v>Y</v>
      </c>
      <c r="AH20" s="4">
        <f t="shared" si="20"/>
        <v>491027355.13263154</v>
      </c>
      <c r="AI20" s="4">
        <f t="shared" si="21"/>
        <v>398822400</v>
      </c>
    </row>
    <row r="21" spans="1:35">
      <c r="A21" s="3">
        <v>19</v>
      </c>
      <c r="B21" s="3" t="s">
        <v>685</v>
      </c>
      <c r="C21" s="3" t="s">
        <v>667</v>
      </c>
      <c r="D21" s="4">
        <v>900</v>
      </c>
      <c r="E21" s="4">
        <v>21389572.19116462</v>
      </c>
      <c r="F21" s="4">
        <v>0</v>
      </c>
      <c r="G21" s="4">
        <v>0</v>
      </c>
      <c r="H21" s="4">
        <f t="shared" si="4"/>
        <v>21389572.19116462</v>
      </c>
      <c r="I21" s="4">
        <f t="shared" si="5"/>
        <v>23766.191323516246</v>
      </c>
      <c r="J21" s="4">
        <v>892.5</v>
      </c>
      <c r="K21" s="5">
        <f t="shared" si="6"/>
        <v>892.5</v>
      </c>
      <c r="L21" s="4">
        <v>21450</v>
      </c>
      <c r="M21" s="4">
        <f t="shared" si="2"/>
        <v>19322371.434926368</v>
      </c>
      <c r="N21" s="4">
        <f t="shared" si="7"/>
        <v>-2067200.7562382501</v>
      </c>
      <c r="O21" s="4">
        <f t="shared" si="8"/>
        <v>0</v>
      </c>
      <c r="P21" s="4">
        <f t="shared" si="9"/>
        <v>-2067200.7562382501</v>
      </c>
      <c r="T21" s="4">
        <f t="shared" si="10"/>
        <v>23766.191323516246</v>
      </c>
      <c r="U21" s="4">
        <f t="shared" si="11"/>
        <v>-2067200.7562382501</v>
      </c>
      <c r="V21" s="4">
        <f t="shared" si="12"/>
        <v>0</v>
      </c>
      <c r="W21" s="4">
        <f t="shared" si="13"/>
        <v>-2067200.7562382501</v>
      </c>
      <c r="X21" s="5">
        <f t="shared" si="14"/>
        <v>19322371.434926368</v>
      </c>
      <c r="Y21" s="5">
        <f t="shared" si="15"/>
        <v>0</v>
      </c>
      <c r="Z21" s="5">
        <f t="shared" si="15"/>
        <v>0</v>
      </c>
      <c r="AB21" s="5">
        <f t="shared" si="3"/>
        <v>7.5</v>
      </c>
      <c r="AC21" s="4">
        <f t="shared" si="16"/>
        <v>178246.43492637185</v>
      </c>
      <c r="AD21" s="4">
        <f t="shared" si="17"/>
        <v>160875</v>
      </c>
      <c r="AE21" s="5">
        <f t="shared" si="18"/>
        <v>17371.434926371847</v>
      </c>
      <c r="AF21" s="3" t="str">
        <f t="shared" si="19"/>
        <v>Y</v>
      </c>
      <c r="AH21" s="4">
        <f t="shared" si="20"/>
        <v>21211325.756238248</v>
      </c>
      <c r="AI21" s="4">
        <f t="shared" si="21"/>
        <v>19144125</v>
      </c>
    </row>
    <row r="22" spans="1:35">
      <c r="A22" s="3">
        <v>20</v>
      </c>
      <c r="B22" s="3" t="s">
        <v>686</v>
      </c>
      <c r="C22" s="3" t="s">
        <v>667</v>
      </c>
      <c r="D22" s="4">
        <v>33140</v>
      </c>
      <c r="E22" s="4">
        <v>320676653.65065974</v>
      </c>
      <c r="F22" s="4">
        <v>0</v>
      </c>
      <c r="G22" s="4">
        <v>0</v>
      </c>
      <c r="H22" s="4">
        <f t="shared" si="4"/>
        <v>320676653.65065974</v>
      </c>
      <c r="I22" s="4">
        <f t="shared" si="5"/>
        <v>9676.4228621200891</v>
      </c>
      <c r="J22" s="4">
        <v>33054.400000000001</v>
      </c>
      <c r="K22" s="5">
        <f t="shared" si="6"/>
        <v>33054.400000000001</v>
      </c>
      <c r="L22" s="4">
        <v>10400</v>
      </c>
      <c r="M22" s="4">
        <f t="shared" si="2"/>
        <v>344594061.79699749</v>
      </c>
      <c r="N22" s="4">
        <f t="shared" si="7"/>
        <v>23917408.146337729</v>
      </c>
      <c r="O22" s="4">
        <f t="shared" si="8"/>
        <v>23917408.146337729</v>
      </c>
      <c r="P22" s="4">
        <f t="shared" si="9"/>
        <v>0</v>
      </c>
      <c r="T22" s="4">
        <f t="shared" si="10"/>
        <v>9676.4228621200891</v>
      </c>
      <c r="U22" s="4">
        <f t="shared" si="11"/>
        <v>23917408.146337729</v>
      </c>
      <c r="V22" s="4">
        <f t="shared" si="12"/>
        <v>23917408.146337729</v>
      </c>
      <c r="W22" s="4">
        <f t="shared" si="13"/>
        <v>0</v>
      </c>
      <c r="X22" s="5">
        <f t="shared" si="14"/>
        <v>344594061.79699749</v>
      </c>
      <c r="Y22" s="5">
        <f t="shared" si="15"/>
        <v>0</v>
      </c>
      <c r="Z22" s="5">
        <f t="shared" si="15"/>
        <v>0</v>
      </c>
      <c r="AB22" s="5">
        <f t="shared" si="3"/>
        <v>85.599999999998545</v>
      </c>
      <c r="AC22" s="4">
        <f t="shared" si="16"/>
        <v>828301.79699746554</v>
      </c>
      <c r="AD22" s="4">
        <f t="shared" si="17"/>
        <v>890239.99999998487</v>
      </c>
      <c r="AE22" s="5">
        <f t="shared" si="18"/>
        <v>-61938.203002519323</v>
      </c>
      <c r="AF22" s="3" t="str">
        <f t="shared" si="19"/>
        <v>N</v>
      </c>
      <c r="AH22" s="4">
        <f t="shared" si="20"/>
        <v>319848351.85366231</v>
      </c>
      <c r="AI22" s="4">
        <f t="shared" si="21"/>
        <v>343765760</v>
      </c>
    </row>
    <row r="23" spans="1:35">
      <c r="A23" s="3">
        <v>21</v>
      </c>
      <c r="B23" s="3" t="s">
        <v>687</v>
      </c>
      <c r="C23" s="3" t="s">
        <v>667</v>
      </c>
      <c r="D23" s="4">
        <v>63100</v>
      </c>
      <c r="E23" s="4">
        <v>431841253.8067593</v>
      </c>
      <c r="F23" s="4">
        <v>0</v>
      </c>
      <c r="G23" s="4">
        <v>0</v>
      </c>
      <c r="H23" s="4">
        <f t="shared" si="4"/>
        <v>431841253.8067593</v>
      </c>
      <c r="I23" s="4">
        <f t="shared" si="5"/>
        <v>6843.7599652418276</v>
      </c>
      <c r="J23" s="4">
        <v>63085</v>
      </c>
      <c r="K23" s="5">
        <f t="shared" si="6"/>
        <v>63085</v>
      </c>
      <c r="L23" s="4">
        <v>4800</v>
      </c>
      <c r="M23" s="4">
        <f t="shared" si="2"/>
        <v>302910656.39947861</v>
      </c>
      <c r="N23" s="4">
        <f t="shared" si="7"/>
        <v>-128930597.4072807</v>
      </c>
      <c r="O23" s="4">
        <f t="shared" si="8"/>
        <v>0</v>
      </c>
      <c r="P23" s="4">
        <f t="shared" si="9"/>
        <v>-128930597.4072807</v>
      </c>
      <c r="T23" s="4">
        <f t="shared" si="10"/>
        <v>6843.7599652418276</v>
      </c>
      <c r="U23" s="4">
        <f t="shared" si="11"/>
        <v>-128930597.4072807</v>
      </c>
      <c r="V23" s="4">
        <f t="shared" si="12"/>
        <v>0</v>
      </c>
      <c r="W23" s="4">
        <f t="shared" si="13"/>
        <v>-128930597.4072807</v>
      </c>
      <c r="X23" s="5">
        <f t="shared" si="14"/>
        <v>302910656.39947861</v>
      </c>
      <c r="Y23" s="5">
        <f t="shared" si="15"/>
        <v>0</v>
      </c>
      <c r="Z23" s="5">
        <f t="shared" si="15"/>
        <v>0</v>
      </c>
      <c r="AB23" s="5">
        <f t="shared" si="3"/>
        <v>15</v>
      </c>
      <c r="AC23" s="4">
        <f t="shared" si="16"/>
        <v>102656.39947862741</v>
      </c>
      <c r="AD23" s="4">
        <f t="shared" si="17"/>
        <v>72000</v>
      </c>
      <c r="AE23" s="5">
        <f t="shared" si="18"/>
        <v>30656.399478627412</v>
      </c>
      <c r="AF23" s="3" t="str">
        <f t="shared" si="19"/>
        <v>Y</v>
      </c>
      <c r="AH23" s="4">
        <f t="shared" si="20"/>
        <v>431738597.40728068</v>
      </c>
      <c r="AI23" s="4">
        <f t="shared" si="21"/>
        <v>302808000</v>
      </c>
    </row>
    <row r="24" spans="1:35">
      <c r="A24" s="3">
        <v>22</v>
      </c>
      <c r="B24" s="3" t="s">
        <v>688</v>
      </c>
      <c r="C24" s="3" t="s">
        <v>667</v>
      </c>
      <c r="D24" s="4">
        <v>700</v>
      </c>
      <c r="E24" s="4">
        <v>41283498.631691679</v>
      </c>
      <c r="F24" s="4">
        <v>0</v>
      </c>
      <c r="G24" s="4">
        <v>0</v>
      </c>
      <c r="H24" s="4">
        <f t="shared" si="4"/>
        <v>41283498.631691679</v>
      </c>
      <c r="I24" s="4">
        <f t="shared" si="5"/>
        <v>58976.426616702396</v>
      </c>
      <c r="J24" s="4">
        <v>665.7</v>
      </c>
      <c r="K24" s="5">
        <f t="shared" si="6"/>
        <v>665.7</v>
      </c>
      <c r="L24" s="4">
        <v>50500</v>
      </c>
      <c r="M24" s="4">
        <f t="shared" si="2"/>
        <v>35640741.432952896</v>
      </c>
      <c r="N24" s="4">
        <f t="shared" si="7"/>
        <v>-5642757.1987387855</v>
      </c>
      <c r="O24" s="4">
        <f t="shared" si="8"/>
        <v>0</v>
      </c>
      <c r="P24" s="4">
        <f t="shared" si="9"/>
        <v>-5642757.1987387855</v>
      </c>
      <c r="T24" s="4">
        <f t="shared" si="10"/>
        <v>58976.426616702396</v>
      </c>
      <c r="U24" s="4">
        <f t="shared" si="11"/>
        <v>-5642757.1987387855</v>
      </c>
      <c r="V24" s="4">
        <f t="shared" si="12"/>
        <v>0</v>
      </c>
      <c r="W24" s="4">
        <f t="shared" si="13"/>
        <v>-5642757.1987387855</v>
      </c>
      <c r="X24" s="5">
        <f t="shared" si="14"/>
        <v>35640741.432952896</v>
      </c>
      <c r="Y24" s="5">
        <f t="shared" si="15"/>
        <v>0</v>
      </c>
      <c r="Z24" s="5">
        <f t="shared" si="15"/>
        <v>0</v>
      </c>
      <c r="AB24" s="5">
        <f t="shared" si="3"/>
        <v>34.299999999999955</v>
      </c>
      <c r="AC24" s="4">
        <f t="shared" si="16"/>
        <v>2022891.4329528895</v>
      </c>
      <c r="AD24" s="4">
        <f t="shared" si="17"/>
        <v>1732149.9999999977</v>
      </c>
      <c r="AE24" s="5">
        <f t="shared" si="18"/>
        <v>290741.4329528918</v>
      </c>
      <c r="AF24" s="3" t="str">
        <f t="shared" si="19"/>
        <v>Y</v>
      </c>
      <c r="AH24" s="4">
        <f t="shared" si="20"/>
        <v>39260607.198738791</v>
      </c>
      <c r="AI24" s="4">
        <f t="shared" si="21"/>
        <v>33617850</v>
      </c>
    </row>
    <row r="25" spans="1:35">
      <c r="A25" s="3">
        <v>23</v>
      </c>
      <c r="B25" s="3" t="s">
        <v>689</v>
      </c>
      <c r="C25" s="3" t="s">
        <v>667</v>
      </c>
      <c r="D25" s="4">
        <v>4220</v>
      </c>
      <c r="E25" s="4">
        <v>83878817.750771657</v>
      </c>
      <c r="F25" s="4">
        <v>0</v>
      </c>
      <c r="G25" s="4">
        <v>0</v>
      </c>
      <c r="H25" s="4">
        <f t="shared" si="4"/>
        <v>83878817.750771657</v>
      </c>
      <c r="I25" s="4">
        <f t="shared" si="5"/>
        <v>19876.497097339256</v>
      </c>
      <c r="J25" s="4">
        <v>4184.7</v>
      </c>
      <c r="K25" s="5">
        <f t="shared" si="6"/>
        <v>4184.7</v>
      </c>
      <c r="L25" s="4">
        <v>25850</v>
      </c>
      <c r="M25" s="4">
        <f t="shared" si="2"/>
        <v>108876135.34753607</v>
      </c>
      <c r="N25" s="4">
        <f t="shared" si="7"/>
        <v>24997317.596764416</v>
      </c>
      <c r="O25" s="4">
        <f t="shared" si="8"/>
        <v>24997317.596764416</v>
      </c>
      <c r="P25" s="4">
        <f t="shared" si="9"/>
        <v>0</v>
      </c>
      <c r="T25" s="4">
        <f t="shared" si="10"/>
        <v>19876.497097339256</v>
      </c>
      <c r="U25" s="4">
        <f t="shared" si="11"/>
        <v>24997317.596764416</v>
      </c>
      <c r="V25" s="4">
        <f t="shared" si="12"/>
        <v>24997317.596764416</v>
      </c>
      <c r="W25" s="4">
        <f t="shared" si="13"/>
        <v>0</v>
      </c>
      <c r="X25" s="5">
        <f t="shared" si="14"/>
        <v>108876135.34753607</v>
      </c>
      <c r="Y25" s="5">
        <f t="shared" si="15"/>
        <v>0</v>
      </c>
      <c r="Z25" s="5">
        <f t="shared" si="15"/>
        <v>0</v>
      </c>
      <c r="AB25" s="5">
        <f t="shared" si="3"/>
        <v>35.300000000000182</v>
      </c>
      <c r="AC25" s="4">
        <f t="shared" si="16"/>
        <v>701640.34753607935</v>
      </c>
      <c r="AD25" s="4">
        <f t="shared" si="17"/>
        <v>912505.00000000466</v>
      </c>
      <c r="AE25" s="5">
        <f t="shared" si="18"/>
        <v>-210864.6524639253</v>
      </c>
      <c r="AF25" s="3" t="str">
        <f t="shared" si="19"/>
        <v>N</v>
      </c>
      <c r="AH25" s="4">
        <f t="shared" si="20"/>
        <v>83177177.403235584</v>
      </c>
      <c r="AI25" s="4">
        <f t="shared" si="21"/>
        <v>108174495</v>
      </c>
    </row>
    <row r="26" spans="1:35">
      <c r="A26" s="3">
        <v>24</v>
      </c>
      <c r="B26" s="3" t="s">
        <v>690</v>
      </c>
      <c r="C26" s="3" t="s">
        <v>667</v>
      </c>
      <c r="D26" s="4">
        <v>1200</v>
      </c>
      <c r="E26" s="4">
        <v>76328846.681713521</v>
      </c>
      <c r="F26" s="4">
        <v>0</v>
      </c>
      <c r="G26" s="4">
        <v>0</v>
      </c>
      <c r="H26" s="4">
        <f t="shared" si="4"/>
        <v>76328846.681713521</v>
      </c>
      <c r="I26" s="4">
        <f t="shared" si="5"/>
        <v>63607.372234761271</v>
      </c>
      <c r="J26" s="4">
        <v>1100</v>
      </c>
      <c r="K26" s="5">
        <f t="shared" si="6"/>
        <v>1100</v>
      </c>
      <c r="L26" s="4">
        <v>50100</v>
      </c>
      <c r="M26" s="4">
        <f t="shared" si="2"/>
        <v>61470737.223476127</v>
      </c>
      <c r="N26" s="4">
        <f t="shared" si="7"/>
        <v>-14858109.458237398</v>
      </c>
      <c r="O26" s="4">
        <f t="shared" si="8"/>
        <v>0</v>
      </c>
      <c r="P26" s="4">
        <f t="shared" si="9"/>
        <v>-14858109.458237398</v>
      </c>
      <c r="T26" s="4">
        <f t="shared" si="10"/>
        <v>63607.372234761271</v>
      </c>
      <c r="U26" s="4">
        <f t="shared" si="11"/>
        <v>-14858109.458237398</v>
      </c>
      <c r="V26" s="4">
        <f t="shared" si="12"/>
        <v>0</v>
      </c>
      <c r="W26" s="4">
        <f t="shared" si="13"/>
        <v>-14858109.458237398</v>
      </c>
      <c r="X26" s="5">
        <f t="shared" si="14"/>
        <v>61470737.223476127</v>
      </c>
      <c r="Y26" s="5">
        <f t="shared" si="15"/>
        <v>0</v>
      </c>
      <c r="Z26" s="5">
        <f t="shared" si="15"/>
        <v>0</v>
      </c>
      <c r="AB26" s="5">
        <f t="shared" si="3"/>
        <v>100</v>
      </c>
      <c r="AC26" s="4">
        <f t="shared" si="16"/>
        <v>6360737.2234761268</v>
      </c>
      <c r="AD26" s="4">
        <f t="shared" si="17"/>
        <v>5010000</v>
      </c>
      <c r="AE26" s="5">
        <f t="shared" si="18"/>
        <v>1350737.2234761268</v>
      </c>
      <c r="AF26" s="3" t="str">
        <f t="shared" si="19"/>
        <v>Y</v>
      </c>
      <c r="AH26" s="4">
        <f t="shared" si="20"/>
        <v>69968109.458237395</v>
      </c>
      <c r="AI26" s="4">
        <f t="shared" si="21"/>
        <v>55110000</v>
      </c>
    </row>
    <row r="27" spans="1:35">
      <c r="A27" s="3">
        <v>25</v>
      </c>
      <c r="B27" s="3" t="s">
        <v>691</v>
      </c>
      <c r="C27" s="3" t="s">
        <v>667</v>
      </c>
      <c r="D27" s="4">
        <v>9300</v>
      </c>
      <c r="E27" s="4">
        <v>67215642.261035264</v>
      </c>
      <c r="F27" s="4">
        <v>0</v>
      </c>
      <c r="G27" s="4">
        <v>0</v>
      </c>
      <c r="H27" s="4">
        <f t="shared" si="4"/>
        <v>67215642.261035264</v>
      </c>
      <c r="I27" s="4">
        <f t="shared" si="5"/>
        <v>7227.4884151650822</v>
      </c>
      <c r="J27" s="4">
        <v>9298.6</v>
      </c>
      <c r="K27" s="5">
        <f t="shared" si="6"/>
        <v>9298.6</v>
      </c>
      <c r="L27" s="4">
        <v>5830</v>
      </c>
      <c r="M27" s="4">
        <f t="shared" si="2"/>
        <v>54220956.483781233</v>
      </c>
      <c r="N27" s="4">
        <f t="shared" si="7"/>
        <v>-12994685.777254034</v>
      </c>
      <c r="O27" s="4">
        <f t="shared" si="8"/>
        <v>0</v>
      </c>
      <c r="P27" s="4">
        <f t="shared" si="9"/>
        <v>-12994685.777254034</v>
      </c>
      <c r="T27" s="4">
        <f t="shared" si="10"/>
        <v>7227.4884151650822</v>
      </c>
      <c r="U27" s="4">
        <f t="shared" si="11"/>
        <v>-12994685.777254034</v>
      </c>
      <c r="V27" s="4">
        <f t="shared" si="12"/>
        <v>0</v>
      </c>
      <c r="W27" s="4">
        <f t="shared" si="13"/>
        <v>-12994685.777254034</v>
      </c>
      <c r="X27" s="5">
        <f t="shared" si="14"/>
        <v>54220956.483781233</v>
      </c>
      <c r="Y27" s="5">
        <f t="shared" si="15"/>
        <v>0</v>
      </c>
      <c r="Z27" s="5">
        <f t="shared" si="15"/>
        <v>0</v>
      </c>
      <c r="AB27" s="5">
        <f t="shared" si="3"/>
        <v>1.3999999999996362</v>
      </c>
      <c r="AC27" s="4">
        <f t="shared" si="16"/>
        <v>10118.483781228486</v>
      </c>
      <c r="AD27" s="4">
        <f t="shared" si="17"/>
        <v>8161.9999999978791</v>
      </c>
      <c r="AE27" s="5">
        <f t="shared" si="18"/>
        <v>1956.4837812306068</v>
      </c>
      <c r="AF27" s="3" t="str">
        <f t="shared" si="19"/>
        <v>Y</v>
      </c>
      <c r="AH27" s="4">
        <f t="shared" si="20"/>
        <v>67205523.77725403</v>
      </c>
      <c r="AI27" s="4">
        <f t="shared" si="21"/>
        <v>54210838</v>
      </c>
    </row>
    <row r="28" spans="1:35">
      <c r="A28" s="3">
        <v>26</v>
      </c>
      <c r="B28" s="3" t="s">
        <v>692</v>
      </c>
      <c r="C28" s="3" t="s">
        <v>667</v>
      </c>
      <c r="D28" s="4">
        <v>48880</v>
      </c>
      <c r="E28" s="4">
        <v>387575733.36756849</v>
      </c>
      <c r="F28" s="4">
        <v>0</v>
      </c>
      <c r="G28" s="4">
        <v>0</v>
      </c>
      <c r="H28" s="4">
        <f t="shared" si="4"/>
        <v>387575733.36756849</v>
      </c>
      <c r="I28" s="4">
        <f t="shared" si="5"/>
        <v>7929.1271147211228</v>
      </c>
      <c r="J28" s="4">
        <v>47560.9</v>
      </c>
      <c r="K28" s="5">
        <f t="shared" si="6"/>
        <v>47560.9</v>
      </c>
      <c r="L28" s="4">
        <v>8820</v>
      </c>
      <c r="M28" s="4">
        <f t="shared" si="2"/>
        <v>429946449.57702863</v>
      </c>
      <c r="N28" s="4">
        <f t="shared" si="7"/>
        <v>42370716.209460154</v>
      </c>
      <c r="O28" s="4">
        <f t="shared" si="8"/>
        <v>42370716.209460154</v>
      </c>
      <c r="P28" s="4">
        <f t="shared" si="9"/>
        <v>0</v>
      </c>
      <c r="T28" s="4">
        <f t="shared" si="10"/>
        <v>7929.1271147211228</v>
      </c>
      <c r="U28" s="4">
        <f t="shared" si="11"/>
        <v>42370716.209460154</v>
      </c>
      <c r="V28" s="4">
        <f t="shared" si="12"/>
        <v>42370716.209460154</v>
      </c>
      <c r="W28" s="4">
        <f t="shared" si="13"/>
        <v>0</v>
      </c>
      <c r="X28" s="5">
        <f t="shared" si="14"/>
        <v>429946449.57702863</v>
      </c>
      <c r="Y28" s="5">
        <f t="shared" si="15"/>
        <v>0</v>
      </c>
      <c r="Z28" s="5">
        <f t="shared" si="15"/>
        <v>0</v>
      </c>
      <c r="AB28" s="5">
        <f t="shared" si="3"/>
        <v>1319.0999999999985</v>
      </c>
      <c r="AC28" s="4">
        <f t="shared" si="16"/>
        <v>10459311.577028621</v>
      </c>
      <c r="AD28" s="4">
        <f t="shared" si="17"/>
        <v>11634461.999999987</v>
      </c>
      <c r="AE28" s="5">
        <f t="shared" si="18"/>
        <v>-1175150.422971366</v>
      </c>
      <c r="AF28" s="3" t="str">
        <f t="shared" si="19"/>
        <v>N</v>
      </c>
      <c r="AH28" s="4">
        <f t="shared" si="20"/>
        <v>377116421.79053986</v>
      </c>
      <c r="AI28" s="4">
        <f t="shared" si="21"/>
        <v>419487138</v>
      </c>
    </row>
    <row r="29" spans="1:35">
      <c r="A29" s="3">
        <v>27</v>
      </c>
      <c r="B29" s="3" t="s">
        <v>693</v>
      </c>
      <c r="C29" s="3" t="s">
        <v>667</v>
      </c>
      <c r="D29" s="4">
        <v>1300</v>
      </c>
      <c r="E29" s="4">
        <v>104899994.46808428</v>
      </c>
      <c r="F29" s="4">
        <v>0</v>
      </c>
      <c r="G29" s="4">
        <v>0</v>
      </c>
      <c r="H29" s="4">
        <f t="shared" si="4"/>
        <v>104899994.46808428</v>
      </c>
      <c r="I29" s="4">
        <f t="shared" si="5"/>
        <v>80692.303436987902</v>
      </c>
      <c r="J29" s="4">
        <v>1269</v>
      </c>
      <c r="K29" s="5">
        <f t="shared" si="6"/>
        <v>1269</v>
      </c>
      <c r="L29" s="4">
        <v>62900</v>
      </c>
      <c r="M29" s="4">
        <f t="shared" si="2"/>
        <v>82321561.406546623</v>
      </c>
      <c r="N29" s="4">
        <f t="shared" si="7"/>
        <v>-22578433.061537649</v>
      </c>
      <c r="O29" s="4">
        <f t="shared" si="8"/>
        <v>0</v>
      </c>
      <c r="P29" s="4">
        <f t="shared" si="9"/>
        <v>-22578433.061537649</v>
      </c>
      <c r="T29" s="4">
        <f t="shared" si="10"/>
        <v>80692.303436987902</v>
      </c>
      <c r="U29" s="4">
        <f t="shared" si="11"/>
        <v>-22578433.061537649</v>
      </c>
      <c r="V29" s="4">
        <f t="shared" si="12"/>
        <v>0</v>
      </c>
      <c r="W29" s="4">
        <f t="shared" si="13"/>
        <v>-22578433.061537649</v>
      </c>
      <c r="X29" s="5">
        <f t="shared" si="14"/>
        <v>82321561.406546623</v>
      </c>
      <c r="Y29" s="5">
        <f t="shared" si="15"/>
        <v>0</v>
      </c>
      <c r="Z29" s="5">
        <f t="shared" si="15"/>
        <v>0</v>
      </c>
      <c r="AB29" s="5">
        <f t="shared" si="3"/>
        <v>31</v>
      </c>
      <c r="AC29" s="4">
        <f t="shared" si="16"/>
        <v>2501461.4065466248</v>
      </c>
      <c r="AD29" s="4">
        <f t="shared" si="17"/>
        <v>1949900</v>
      </c>
      <c r="AE29" s="5">
        <f t="shared" si="18"/>
        <v>551561.40654662484</v>
      </c>
      <c r="AF29" s="3" t="str">
        <f t="shared" si="19"/>
        <v>Y</v>
      </c>
      <c r="AH29" s="4">
        <f t="shared" si="20"/>
        <v>102398533.06153765</v>
      </c>
      <c r="AI29" s="4">
        <f t="shared" si="21"/>
        <v>79820100</v>
      </c>
    </row>
    <row r="30" spans="1:35">
      <c r="A30" s="3">
        <v>28</v>
      </c>
      <c r="B30" s="3" t="s">
        <v>694</v>
      </c>
      <c r="C30" s="3" t="s">
        <v>667</v>
      </c>
      <c r="D30" s="4">
        <v>7100</v>
      </c>
      <c r="E30" s="4">
        <v>132380112.11943243</v>
      </c>
      <c r="F30" s="4">
        <v>0</v>
      </c>
      <c r="G30" s="4">
        <v>0</v>
      </c>
      <c r="H30" s="4">
        <f t="shared" si="4"/>
        <v>132380112.11943243</v>
      </c>
      <c r="I30" s="4">
        <f t="shared" si="5"/>
        <v>18645.086214004568</v>
      </c>
      <c r="J30" s="4">
        <v>7005.2</v>
      </c>
      <c r="K30" s="5">
        <f t="shared" si="6"/>
        <v>7005.2</v>
      </c>
      <c r="L30" s="4">
        <v>24700</v>
      </c>
      <c r="M30" s="4">
        <f t="shared" si="2"/>
        <v>174795994.17308763</v>
      </c>
      <c r="N30" s="4">
        <f t="shared" si="7"/>
        <v>42415882.0536552</v>
      </c>
      <c r="O30" s="4">
        <f t="shared" si="8"/>
        <v>42415882.0536552</v>
      </c>
      <c r="P30" s="4">
        <f t="shared" si="9"/>
        <v>0</v>
      </c>
      <c r="T30" s="4">
        <f t="shared" si="10"/>
        <v>18645.086214004568</v>
      </c>
      <c r="U30" s="4">
        <f t="shared" si="11"/>
        <v>42415882.0536552</v>
      </c>
      <c r="V30" s="4">
        <f t="shared" si="12"/>
        <v>42415882.0536552</v>
      </c>
      <c r="W30" s="4">
        <f t="shared" si="13"/>
        <v>0</v>
      </c>
      <c r="X30" s="5">
        <f t="shared" si="14"/>
        <v>174795994.17308763</v>
      </c>
      <c r="Y30" s="5">
        <f t="shared" si="15"/>
        <v>0</v>
      </c>
      <c r="Z30" s="5">
        <f t="shared" si="15"/>
        <v>0</v>
      </c>
      <c r="AB30" s="5">
        <f t="shared" si="3"/>
        <v>94.800000000000182</v>
      </c>
      <c r="AC30" s="4">
        <f t="shared" si="16"/>
        <v>1767554.1730876365</v>
      </c>
      <c r="AD30" s="4">
        <f t="shared" si="17"/>
        <v>2341560.0000000047</v>
      </c>
      <c r="AE30" s="5">
        <f t="shared" si="18"/>
        <v>-574005.82691236818</v>
      </c>
      <c r="AF30" s="3" t="str">
        <f t="shared" si="19"/>
        <v>N</v>
      </c>
      <c r="AH30" s="4">
        <f t="shared" si="20"/>
        <v>130612557.94634479</v>
      </c>
      <c r="AI30" s="4">
        <f t="shared" si="21"/>
        <v>173028440</v>
      </c>
    </row>
    <row r="31" spans="1:35">
      <c r="A31" s="3">
        <v>29</v>
      </c>
      <c r="B31" s="3" t="s">
        <v>695</v>
      </c>
      <c r="C31" s="3" t="s">
        <v>667</v>
      </c>
      <c r="D31" s="4">
        <v>1800</v>
      </c>
      <c r="E31" s="4">
        <v>87772086.340959921</v>
      </c>
      <c r="F31" s="4">
        <v>0</v>
      </c>
      <c r="G31" s="4">
        <v>0</v>
      </c>
      <c r="H31" s="4">
        <f t="shared" si="4"/>
        <v>87772086.340959921</v>
      </c>
      <c r="I31" s="4">
        <f t="shared" si="5"/>
        <v>48762.270189422175</v>
      </c>
      <c r="J31" s="4">
        <v>1782</v>
      </c>
      <c r="K31" s="5">
        <f t="shared" si="6"/>
        <v>1782</v>
      </c>
      <c r="L31" s="4">
        <v>40000</v>
      </c>
      <c r="M31" s="4">
        <f t="shared" si="2"/>
        <v>72157720.863409609</v>
      </c>
      <c r="N31" s="4">
        <f t="shared" si="7"/>
        <v>-15614365.477550317</v>
      </c>
      <c r="O31" s="4">
        <f t="shared" si="8"/>
        <v>0</v>
      </c>
      <c r="P31" s="4">
        <f t="shared" si="9"/>
        <v>-15614365.477550317</v>
      </c>
      <c r="T31" s="4">
        <f t="shared" si="10"/>
        <v>48762.270189422175</v>
      </c>
      <c r="U31" s="4">
        <f t="shared" si="11"/>
        <v>-15614365.477550317</v>
      </c>
      <c r="V31" s="4">
        <f t="shared" si="12"/>
        <v>0</v>
      </c>
      <c r="W31" s="4">
        <f t="shared" si="13"/>
        <v>-15614365.477550317</v>
      </c>
      <c r="X31" s="5">
        <f t="shared" si="14"/>
        <v>72157720.863409609</v>
      </c>
      <c r="Y31" s="5">
        <f t="shared" si="15"/>
        <v>0</v>
      </c>
      <c r="Z31" s="5">
        <f t="shared" si="15"/>
        <v>0</v>
      </c>
      <c r="AB31" s="5">
        <f t="shared" si="3"/>
        <v>18</v>
      </c>
      <c r="AC31" s="4">
        <f t="shared" si="16"/>
        <v>877720.86340959917</v>
      </c>
      <c r="AD31" s="4">
        <f t="shared" si="17"/>
        <v>720000</v>
      </c>
      <c r="AE31" s="5">
        <f t="shared" si="18"/>
        <v>157720.86340959917</v>
      </c>
      <c r="AF31" s="3" t="str">
        <f t="shared" si="19"/>
        <v>Y</v>
      </c>
      <c r="AH31" s="4">
        <f t="shared" si="20"/>
        <v>86894365.477550313</v>
      </c>
      <c r="AI31" s="4">
        <f t="shared" si="21"/>
        <v>71280000</v>
      </c>
    </row>
    <row r="32" spans="1:35">
      <c r="A32" s="3">
        <v>30</v>
      </c>
      <c r="B32" s="3" t="s">
        <v>696</v>
      </c>
      <c r="C32" s="3" t="s">
        <v>667</v>
      </c>
      <c r="D32" s="4">
        <v>1100</v>
      </c>
      <c r="E32" s="4">
        <v>30631965.514674336</v>
      </c>
      <c r="F32" s="4">
        <v>0</v>
      </c>
      <c r="G32" s="4">
        <v>0</v>
      </c>
      <c r="H32" s="4">
        <f t="shared" si="4"/>
        <v>30631965.514674336</v>
      </c>
      <c r="I32" s="4">
        <f t="shared" si="5"/>
        <v>27847.241376976668</v>
      </c>
      <c r="J32" s="4">
        <v>1005.6</v>
      </c>
      <c r="K32" s="5">
        <f t="shared" si="6"/>
        <v>1005.6</v>
      </c>
      <c r="L32" s="4">
        <v>25250</v>
      </c>
      <c r="M32" s="4">
        <f t="shared" si="2"/>
        <v>28020179.585986599</v>
      </c>
      <c r="N32" s="4">
        <f t="shared" si="7"/>
        <v>-2611785.9286877373</v>
      </c>
      <c r="O32" s="4">
        <f t="shared" si="8"/>
        <v>0</v>
      </c>
      <c r="P32" s="4">
        <f t="shared" si="9"/>
        <v>-2611785.9286877373</v>
      </c>
      <c r="T32" s="4">
        <f t="shared" si="10"/>
        <v>27847.241376976668</v>
      </c>
      <c r="U32" s="4">
        <f t="shared" si="11"/>
        <v>-2611785.9286877373</v>
      </c>
      <c r="V32" s="4">
        <f t="shared" si="12"/>
        <v>0</v>
      </c>
      <c r="W32" s="4">
        <f t="shared" si="13"/>
        <v>-2611785.9286877373</v>
      </c>
      <c r="X32" s="5">
        <f t="shared" si="14"/>
        <v>28020179.585986599</v>
      </c>
      <c r="Y32" s="5">
        <f t="shared" si="15"/>
        <v>0</v>
      </c>
      <c r="Z32" s="5">
        <f t="shared" si="15"/>
        <v>0</v>
      </c>
      <c r="AB32" s="5">
        <f t="shared" si="3"/>
        <v>94.399999999999977</v>
      </c>
      <c r="AC32" s="4">
        <f t="shared" si="16"/>
        <v>2628779.585986597</v>
      </c>
      <c r="AD32" s="4">
        <f t="shared" si="17"/>
        <v>2383599.9999999995</v>
      </c>
      <c r="AE32" s="5">
        <f t="shared" si="18"/>
        <v>245179.58598659746</v>
      </c>
      <c r="AF32" s="3" t="str">
        <f t="shared" si="19"/>
        <v>Y</v>
      </c>
      <c r="AH32" s="4">
        <f t="shared" si="20"/>
        <v>28003185.928687736</v>
      </c>
      <c r="AI32" s="4">
        <f t="shared" si="21"/>
        <v>25391400</v>
      </c>
    </row>
    <row r="33" spans="1:35">
      <c r="A33" s="3">
        <v>31</v>
      </c>
      <c r="B33" s="3" t="s">
        <v>697</v>
      </c>
      <c r="C33" s="3" t="s">
        <v>667</v>
      </c>
      <c r="D33" s="4">
        <v>6500</v>
      </c>
      <c r="E33" s="4">
        <v>257057381.83770537</v>
      </c>
      <c r="F33" s="4">
        <v>0</v>
      </c>
      <c r="G33" s="4">
        <v>0</v>
      </c>
      <c r="H33" s="4">
        <f t="shared" si="4"/>
        <v>257057381.83770537</v>
      </c>
      <c r="I33" s="4">
        <f t="shared" si="5"/>
        <v>39547.289513493131</v>
      </c>
      <c r="J33" s="4">
        <v>6415.1</v>
      </c>
      <c r="K33" s="5">
        <f t="shared" si="6"/>
        <v>6415.1</v>
      </c>
      <c r="L33" s="4">
        <v>43400</v>
      </c>
      <c r="M33" s="4">
        <f t="shared" si="2"/>
        <v>281772904.87969559</v>
      </c>
      <c r="N33" s="4">
        <f t="shared" si="7"/>
        <v>24715523.041990213</v>
      </c>
      <c r="O33" s="4">
        <f t="shared" si="8"/>
        <v>24715523.041990213</v>
      </c>
      <c r="P33" s="4">
        <f t="shared" si="9"/>
        <v>0</v>
      </c>
      <c r="T33" s="4">
        <f t="shared" si="10"/>
        <v>39547.289513493131</v>
      </c>
      <c r="U33" s="4">
        <f t="shared" si="11"/>
        <v>24715523.041990213</v>
      </c>
      <c r="V33" s="4">
        <f t="shared" si="12"/>
        <v>24715523.041990213</v>
      </c>
      <c r="W33" s="4">
        <f t="shared" si="13"/>
        <v>0</v>
      </c>
      <c r="X33" s="5">
        <f t="shared" si="14"/>
        <v>281772904.87969559</v>
      </c>
      <c r="Y33" s="5">
        <f t="shared" si="15"/>
        <v>0</v>
      </c>
      <c r="Z33" s="5">
        <f t="shared" si="15"/>
        <v>0</v>
      </c>
      <c r="AB33" s="5">
        <f t="shared" si="3"/>
        <v>84.899999999999636</v>
      </c>
      <c r="AC33" s="4">
        <f t="shared" si="16"/>
        <v>3357564.8796955524</v>
      </c>
      <c r="AD33" s="4">
        <f t="shared" si="17"/>
        <v>3684659.9999999842</v>
      </c>
      <c r="AE33" s="5">
        <f t="shared" si="18"/>
        <v>-327095.12030443177</v>
      </c>
      <c r="AF33" s="3" t="str">
        <f t="shared" si="19"/>
        <v>N</v>
      </c>
      <c r="AH33" s="4">
        <f t="shared" si="20"/>
        <v>253699816.95800981</v>
      </c>
      <c r="AI33" s="4">
        <f t="shared" si="21"/>
        <v>278415340</v>
      </c>
    </row>
    <row r="34" spans="1:35">
      <c r="A34" s="3">
        <v>32</v>
      </c>
      <c r="B34" s="3" t="s">
        <v>698</v>
      </c>
      <c r="C34" s="3" t="s">
        <v>667</v>
      </c>
      <c r="D34" s="4">
        <v>16770</v>
      </c>
      <c r="E34" s="4">
        <v>69961767.457143843</v>
      </c>
      <c r="F34" s="4">
        <v>0</v>
      </c>
      <c r="G34" s="4">
        <v>0</v>
      </c>
      <c r="H34" s="4">
        <f t="shared" si="4"/>
        <v>69961767.457143843</v>
      </c>
      <c r="I34" s="4">
        <f t="shared" si="5"/>
        <v>4171.840635488601</v>
      </c>
      <c r="J34" s="4">
        <v>16733.5</v>
      </c>
      <c r="K34" s="5">
        <f t="shared" si="6"/>
        <v>16733.5</v>
      </c>
      <c r="L34" s="4">
        <v>4360</v>
      </c>
      <c r="M34" s="4">
        <f t="shared" si="2"/>
        <v>73110332.183195338</v>
      </c>
      <c r="N34" s="4">
        <f t="shared" si="7"/>
        <v>3148564.7260514945</v>
      </c>
      <c r="O34" s="4">
        <f t="shared" si="8"/>
        <v>3148564.7260514945</v>
      </c>
      <c r="P34" s="4">
        <f t="shared" si="9"/>
        <v>0</v>
      </c>
      <c r="T34" s="4">
        <f t="shared" si="10"/>
        <v>4171.840635488601</v>
      </c>
      <c r="U34" s="4">
        <f t="shared" si="11"/>
        <v>3148564.7260514945</v>
      </c>
      <c r="V34" s="4">
        <f t="shared" si="12"/>
        <v>3148564.7260514945</v>
      </c>
      <c r="W34" s="4">
        <f t="shared" si="13"/>
        <v>0</v>
      </c>
      <c r="X34" s="5">
        <f t="shared" si="14"/>
        <v>73110332.183195338</v>
      </c>
      <c r="Y34" s="5">
        <f t="shared" si="15"/>
        <v>0</v>
      </c>
      <c r="Z34" s="5">
        <f t="shared" si="15"/>
        <v>0</v>
      </c>
      <c r="AB34" s="5">
        <f t="shared" si="3"/>
        <v>36.5</v>
      </c>
      <c r="AC34" s="4">
        <f t="shared" si="16"/>
        <v>152272.18319533393</v>
      </c>
      <c r="AD34" s="4">
        <f t="shared" si="17"/>
        <v>159140</v>
      </c>
      <c r="AE34" s="5">
        <f t="shared" si="18"/>
        <v>-6867.8168046660721</v>
      </c>
      <c r="AF34" s="3" t="str">
        <f t="shared" si="19"/>
        <v>N</v>
      </c>
      <c r="AH34" s="4">
        <f t="shared" si="20"/>
        <v>69809495.273948506</v>
      </c>
      <c r="AI34" s="4">
        <f t="shared" si="21"/>
        <v>72958060</v>
      </c>
    </row>
    <row r="35" spans="1:35">
      <c r="A35" s="3">
        <v>33</v>
      </c>
      <c r="B35" s="3" t="s">
        <v>699</v>
      </c>
      <c r="C35" s="3" t="s">
        <v>667</v>
      </c>
      <c r="D35" s="4">
        <v>5100</v>
      </c>
      <c r="E35" s="4">
        <v>76981735.260337606</v>
      </c>
      <c r="F35" s="4">
        <v>0</v>
      </c>
      <c r="G35" s="4">
        <v>0</v>
      </c>
      <c r="H35" s="4">
        <f t="shared" si="4"/>
        <v>76981735.260337606</v>
      </c>
      <c r="I35" s="4">
        <f t="shared" si="5"/>
        <v>15094.457894183844</v>
      </c>
      <c r="J35" s="4">
        <v>5098.8999999999996</v>
      </c>
      <c r="K35" s="5">
        <f t="shared" si="6"/>
        <v>5098.8999999999996</v>
      </c>
      <c r="L35" s="4">
        <v>14800</v>
      </c>
      <c r="M35" s="4">
        <f t="shared" si="2"/>
        <v>75480323.903683603</v>
      </c>
      <c r="N35" s="4">
        <f t="shared" si="7"/>
        <v>-1501411.3566540044</v>
      </c>
      <c r="O35" s="4">
        <f t="shared" si="8"/>
        <v>0</v>
      </c>
      <c r="P35" s="4">
        <f t="shared" si="9"/>
        <v>-1501411.3566540044</v>
      </c>
      <c r="T35" s="4">
        <f t="shared" si="10"/>
        <v>15094.457894183844</v>
      </c>
      <c r="U35" s="4">
        <f t="shared" si="11"/>
        <v>-1501411.3566540044</v>
      </c>
      <c r="V35" s="4">
        <f t="shared" si="12"/>
        <v>0</v>
      </c>
      <c r="W35" s="4">
        <f t="shared" si="13"/>
        <v>-1501411.3566540044</v>
      </c>
      <c r="X35" s="5">
        <f t="shared" si="14"/>
        <v>75480323.903683603</v>
      </c>
      <c r="Y35" s="5">
        <f t="shared" si="15"/>
        <v>0</v>
      </c>
      <c r="Z35" s="5">
        <f t="shared" si="15"/>
        <v>0</v>
      </c>
      <c r="AB35" s="5">
        <f t="shared" si="3"/>
        <v>1.1000000000003638</v>
      </c>
      <c r="AC35" s="4">
        <f t="shared" si="16"/>
        <v>16603.903683607721</v>
      </c>
      <c r="AD35" s="4">
        <f t="shared" si="17"/>
        <v>16280.000000005384</v>
      </c>
      <c r="AE35" s="5">
        <f t="shared" si="18"/>
        <v>323.90368360233697</v>
      </c>
      <c r="AF35" s="3" t="str">
        <f t="shared" si="19"/>
        <v>Y</v>
      </c>
      <c r="AH35" s="4">
        <f t="shared" si="20"/>
        <v>76965131.356654003</v>
      </c>
      <c r="AI35" s="4">
        <f t="shared" si="21"/>
        <v>75463720</v>
      </c>
    </row>
    <row r="36" spans="1:35">
      <c r="A36" s="3">
        <v>34</v>
      </c>
      <c r="B36" s="3" t="s">
        <v>700</v>
      </c>
      <c r="C36" s="3" t="s">
        <v>667</v>
      </c>
      <c r="D36" s="4">
        <v>1560</v>
      </c>
      <c r="E36" s="4">
        <v>34532071.803405479</v>
      </c>
      <c r="F36" s="4">
        <v>0</v>
      </c>
      <c r="G36" s="4">
        <v>0</v>
      </c>
      <c r="H36" s="4">
        <f t="shared" si="4"/>
        <v>34532071.803405479</v>
      </c>
      <c r="I36" s="4">
        <f t="shared" si="5"/>
        <v>22135.943463721462</v>
      </c>
      <c r="J36" s="4">
        <v>1553.4</v>
      </c>
      <c r="K36" s="5">
        <f t="shared" si="6"/>
        <v>1553.4</v>
      </c>
      <c r="L36" s="4">
        <v>21350</v>
      </c>
      <c r="M36" s="4">
        <f t="shared" si="2"/>
        <v>33311187.22686056</v>
      </c>
      <c r="N36" s="4">
        <f t="shared" si="7"/>
        <v>-1220884.5765449188</v>
      </c>
      <c r="O36" s="4">
        <f t="shared" si="8"/>
        <v>0</v>
      </c>
      <c r="P36" s="4">
        <f t="shared" si="9"/>
        <v>-1220884.5765449188</v>
      </c>
      <c r="T36" s="4">
        <f t="shared" si="10"/>
        <v>22135.943463721462</v>
      </c>
      <c r="U36" s="4">
        <f t="shared" si="11"/>
        <v>-1220884.5765449188</v>
      </c>
      <c r="V36" s="4">
        <f t="shared" si="12"/>
        <v>0</v>
      </c>
      <c r="W36" s="4">
        <f t="shared" si="13"/>
        <v>-1220884.5765449188</v>
      </c>
      <c r="X36" s="5">
        <f t="shared" si="14"/>
        <v>33311187.22686056</v>
      </c>
      <c r="Y36" s="5">
        <f t="shared" si="15"/>
        <v>0</v>
      </c>
      <c r="Z36" s="5">
        <f t="shared" si="15"/>
        <v>0</v>
      </c>
      <c r="AB36" s="5">
        <f t="shared" si="3"/>
        <v>6.5999999999999091</v>
      </c>
      <c r="AC36" s="4">
        <f t="shared" si="16"/>
        <v>146097.22686055963</v>
      </c>
      <c r="AD36" s="4">
        <f t="shared" si="17"/>
        <v>140909.99999999805</v>
      </c>
      <c r="AE36" s="5">
        <f t="shared" si="18"/>
        <v>5187.2268605615827</v>
      </c>
      <c r="AF36" s="3" t="str">
        <f t="shared" si="19"/>
        <v>Y</v>
      </c>
      <c r="AH36" s="4">
        <f t="shared" si="20"/>
        <v>34385974.576544918</v>
      </c>
      <c r="AI36" s="4">
        <f t="shared" si="21"/>
        <v>33165090.000000004</v>
      </c>
    </row>
    <row r="37" spans="1:35">
      <c r="A37" s="3">
        <v>35</v>
      </c>
      <c r="B37" s="3" t="s">
        <v>701</v>
      </c>
      <c r="C37" s="3" t="s">
        <v>667</v>
      </c>
      <c r="D37" s="4">
        <v>300</v>
      </c>
      <c r="E37" s="4">
        <v>21707018.219531029</v>
      </c>
      <c r="F37" s="4">
        <v>0</v>
      </c>
      <c r="G37" s="4">
        <v>0</v>
      </c>
      <c r="H37" s="4">
        <f t="shared" si="4"/>
        <v>21707018.219531029</v>
      </c>
      <c r="I37" s="4">
        <f t="shared" si="5"/>
        <v>72356.727398436764</v>
      </c>
      <c r="J37" s="4">
        <v>241.4</v>
      </c>
      <c r="K37" s="5">
        <f t="shared" si="6"/>
        <v>241.4</v>
      </c>
      <c r="L37" s="4">
        <v>104300</v>
      </c>
      <c r="M37" s="4">
        <f t="shared" si="2"/>
        <v>29418124.225548394</v>
      </c>
      <c r="N37" s="4">
        <f t="shared" si="7"/>
        <v>7711106.0060173655</v>
      </c>
      <c r="O37" s="4">
        <f t="shared" si="8"/>
        <v>7711106.0060173655</v>
      </c>
      <c r="P37" s="4">
        <f t="shared" si="9"/>
        <v>0</v>
      </c>
      <c r="T37" s="4">
        <f t="shared" si="10"/>
        <v>72356.727398436764</v>
      </c>
      <c r="U37" s="4">
        <f t="shared" si="11"/>
        <v>7711106.0060173655</v>
      </c>
      <c r="V37" s="4">
        <f t="shared" si="12"/>
        <v>7711106.0060173655</v>
      </c>
      <c r="W37" s="4">
        <f t="shared" si="13"/>
        <v>0</v>
      </c>
      <c r="X37" s="5">
        <f t="shared" si="14"/>
        <v>29418124.225548394</v>
      </c>
      <c r="Y37" s="5">
        <f t="shared" si="15"/>
        <v>0</v>
      </c>
      <c r="Z37" s="5">
        <f t="shared" si="15"/>
        <v>0</v>
      </c>
      <c r="AB37" s="5">
        <f t="shared" si="3"/>
        <v>58.599999999999994</v>
      </c>
      <c r="AC37" s="4">
        <f t="shared" si="16"/>
        <v>4240104.225548394</v>
      </c>
      <c r="AD37" s="4">
        <f t="shared" si="17"/>
        <v>6111979.9999999991</v>
      </c>
      <c r="AE37" s="5">
        <f t="shared" si="18"/>
        <v>-1871875.774451605</v>
      </c>
      <c r="AF37" s="3" t="str">
        <f t="shared" si="19"/>
        <v>N</v>
      </c>
      <c r="AH37" s="4">
        <f t="shared" si="20"/>
        <v>17466913.993982635</v>
      </c>
      <c r="AI37" s="4">
        <f t="shared" si="21"/>
        <v>25178020</v>
      </c>
    </row>
    <row r="38" spans="1:35">
      <c r="A38" s="3">
        <v>36</v>
      </c>
      <c r="B38" s="3" t="s">
        <v>702</v>
      </c>
      <c r="C38" s="3" t="s">
        <v>667</v>
      </c>
      <c r="D38" s="4">
        <v>4400</v>
      </c>
      <c r="E38" s="4">
        <v>53138887.874721311</v>
      </c>
      <c r="F38" s="4">
        <v>0</v>
      </c>
      <c r="G38" s="4">
        <v>0</v>
      </c>
      <c r="H38" s="4">
        <f t="shared" si="4"/>
        <v>53138887.874721311</v>
      </c>
      <c r="I38" s="4">
        <f t="shared" si="5"/>
        <v>12077.01997152757</v>
      </c>
      <c r="J38" s="4">
        <v>4262</v>
      </c>
      <c r="K38" s="5">
        <f t="shared" si="6"/>
        <v>4262</v>
      </c>
      <c r="L38" s="4">
        <v>12100</v>
      </c>
      <c r="M38" s="4">
        <f t="shared" si="2"/>
        <v>53236828.756070808</v>
      </c>
      <c r="N38" s="4">
        <f t="shared" si="7"/>
        <v>97940.88134949535</v>
      </c>
      <c r="O38" s="4">
        <f t="shared" si="8"/>
        <v>97940.88134949535</v>
      </c>
      <c r="P38" s="4">
        <f t="shared" si="9"/>
        <v>0</v>
      </c>
      <c r="T38" s="4">
        <f t="shared" si="10"/>
        <v>12077.01997152757</v>
      </c>
      <c r="U38" s="4">
        <f t="shared" si="11"/>
        <v>97940.88134949535</v>
      </c>
      <c r="V38" s="4">
        <f t="shared" si="12"/>
        <v>97940.88134949535</v>
      </c>
      <c r="W38" s="4">
        <f t="shared" si="13"/>
        <v>0</v>
      </c>
      <c r="X38" s="5">
        <f t="shared" si="14"/>
        <v>53236828.756070808</v>
      </c>
      <c r="Y38" s="5">
        <f t="shared" si="15"/>
        <v>0</v>
      </c>
      <c r="Z38" s="5">
        <f t="shared" si="15"/>
        <v>0</v>
      </c>
      <c r="AB38" s="5">
        <f t="shared" si="3"/>
        <v>138</v>
      </c>
      <c r="AC38" s="4">
        <f t="shared" si="16"/>
        <v>1666628.7560708048</v>
      </c>
      <c r="AD38" s="4">
        <f t="shared" si="17"/>
        <v>1669800</v>
      </c>
      <c r="AE38" s="5">
        <f t="shared" si="18"/>
        <v>-3171.2439291952178</v>
      </c>
      <c r="AF38" s="3" t="str">
        <f t="shared" si="19"/>
        <v>N</v>
      </c>
      <c r="AH38" s="4">
        <f t="shared" si="20"/>
        <v>51472259.118650503</v>
      </c>
      <c r="AI38" s="4">
        <f t="shared" si="21"/>
        <v>51570200</v>
      </c>
    </row>
    <row r="39" spans="1:35">
      <c r="A39" s="3">
        <v>37</v>
      </c>
      <c r="B39" s="3" t="s">
        <v>703</v>
      </c>
      <c r="C39" s="3" t="s">
        <v>667</v>
      </c>
      <c r="D39" s="4">
        <v>816</v>
      </c>
      <c r="E39" s="4">
        <v>16514154.610233571</v>
      </c>
      <c r="F39" s="4">
        <v>0</v>
      </c>
      <c r="G39" s="4">
        <v>0</v>
      </c>
      <c r="H39" s="4">
        <f t="shared" si="4"/>
        <v>16514154.610233571</v>
      </c>
      <c r="I39" s="4">
        <f t="shared" si="5"/>
        <v>20237.934571364673</v>
      </c>
      <c r="J39" s="4">
        <v>780.3</v>
      </c>
      <c r="K39" s="5">
        <f t="shared" si="6"/>
        <v>780.3</v>
      </c>
      <c r="L39" s="4">
        <v>47500</v>
      </c>
      <c r="M39" s="4">
        <f t="shared" si="2"/>
        <v>37786744.264197715</v>
      </c>
      <c r="N39" s="4">
        <f t="shared" si="7"/>
        <v>21272589.653964143</v>
      </c>
      <c r="O39" s="4">
        <f t="shared" si="8"/>
        <v>21272589.653964143</v>
      </c>
      <c r="P39" s="4">
        <f t="shared" si="9"/>
        <v>0</v>
      </c>
      <c r="T39" s="4">
        <f t="shared" si="10"/>
        <v>20237.934571364673</v>
      </c>
      <c r="U39" s="4">
        <f t="shared" si="11"/>
        <v>21272589.653964143</v>
      </c>
      <c r="V39" s="4">
        <f t="shared" si="12"/>
        <v>21272589.653964143</v>
      </c>
      <c r="W39" s="4">
        <f t="shared" si="13"/>
        <v>0</v>
      </c>
      <c r="X39" s="5">
        <f t="shared" si="14"/>
        <v>37786744.264197715</v>
      </c>
      <c r="Y39" s="5">
        <f t="shared" si="15"/>
        <v>0</v>
      </c>
      <c r="Z39" s="5">
        <f t="shared" si="15"/>
        <v>0</v>
      </c>
      <c r="AB39" s="5">
        <f t="shared" si="3"/>
        <v>35.700000000000045</v>
      </c>
      <c r="AC39" s="4">
        <f t="shared" si="16"/>
        <v>722494.26419771975</v>
      </c>
      <c r="AD39" s="4">
        <f t="shared" si="17"/>
        <v>1695750.0000000021</v>
      </c>
      <c r="AE39" s="5">
        <f t="shared" si="18"/>
        <v>-973255.73580228235</v>
      </c>
      <c r="AF39" s="3" t="str">
        <f t="shared" si="19"/>
        <v>N</v>
      </c>
      <c r="AH39" s="4">
        <f t="shared" si="20"/>
        <v>15791660.346035853</v>
      </c>
      <c r="AI39" s="4">
        <f t="shared" si="21"/>
        <v>37064250</v>
      </c>
    </row>
    <row r="40" spans="1:35">
      <c r="A40" s="3">
        <v>38</v>
      </c>
      <c r="B40" s="3" t="s">
        <v>704</v>
      </c>
      <c r="C40" s="3" t="s">
        <v>667</v>
      </c>
      <c r="D40" s="4">
        <v>2000</v>
      </c>
      <c r="E40" s="4">
        <v>27851496.379442945</v>
      </c>
      <c r="F40" s="4">
        <v>0</v>
      </c>
      <c r="G40" s="4">
        <v>0</v>
      </c>
      <c r="H40" s="4">
        <f t="shared" si="4"/>
        <v>27851496.379442945</v>
      </c>
      <c r="I40" s="4">
        <f t="shared" si="5"/>
        <v>13925.748189721473</v>
      </c>
      <c r="J40" s="4">
        <v>1951.2</v>
      </c>
      <c r="K40" s="5">
        <f t="shared" si="6"/>
        <v>1951.2</v>
      </c>
      <c r="L40" s="4">
        <v>15900</v>
      </c>
      <c r="M40" s="4">
        <f t="shared" si="2"/>
        <v>31703656.511658408</v>
      </c>
      <c r="N40" s="4">
        <f t="shared" si="7"/>
        <v>3852160.1322154622</v>
      </c>
      <c r="O40" s="4">
        <f t="shared" si="8"/>
        <v>3852160.1322154622</v>
      </c>
      <c r="P40" s="4">
        <f t="shared" si="9"/>
        <v>0</v>
      </c>
      <c r="T40" s="4">
        <f t="shared" si="10"/>
        <v>13925.748189721473</v>
      </c>
      <c r="U40" s="4">
        <f t="shared" si="11"/>
        <v>3852160.1322154622</v>
      </c>
      <c r="V40" s="4">
        <f t="shared" si="12"/>
        <v>3852160.1322154622</v>
      </c>
      <c r="W40" s="4">
        <f t="shared" si="13"/>
        <v>0</v>
      </c>
      <c r="X40" s="5">
        <f t="shared" si="14"/>
        <v>31703656.511658408</v>
      </c>
      <c r="Y40" s="5">
        <f t="shared" si="15"/>
        <v>0</v>
      </c>
      <c r="Z40" s="5">
        <f t="shared" si="15"/>
        <v>0</v>
      </c>
      <c r="AB40" s="5">
        <f t="shared" si="3"/>
        <v>48.799999999999955</v>
      </c>
      <c r="AC40" s="4">
        <f t="shared" si="16"/>
        <v>679576.51165840728</v>
      </c>
      <c r="AD40" s="4">
        <f t="shared" si="17"/>
        <v>775919.9999999993</v>
      </c>
      <c r="AE40" s="5">
        <f t="shared" si="18"/>
        <v>-96343.488341592019</v>
      </c>
      <c r="AF40" s="3" t="str">
        <f t="shared" si="19"/>
        <v>N</v>
      </c>
      <c r="AH40" s="4">
        <f t="shared" si="20"/>
        <v>27171919.867784537</v>
      </c>
      <c r="AI40" s="4">
        <f t="shared" si="21"/>
        <v>31024080</v>
      </c>
    </row>
    <row r="41" spans="1:35">
      <c r="A41" s="3">
        <v>39</v>
      </c>
      <c r="B41" s="3" t="s">
        <v>705</v>
      </c>
      <c r="C41" s="3" t="s">
        <v>667</v>
      </c>
      <c r="D41" s="4">
        <v>400</v>
      </c>
      <c r="E41" s="4">
        <v>13590861.72612229</v>
      </c>
      <c r="F41" s="4">
        <v>0</v>
      </c>
      <c r="G41" s="4">
        <v>0</v>
      </c>
      <c r="H41" s="4">
        <f t="shared" si="4"/>
        <v>13590861.72612229</v>
      </c>
      <c r="I41" s="4">
        <f t="shared" si="5"/>
        <v>33977.154315305728</v>
      </c>
      <c r="J41" s="4">
        <v>341.2</v>
      </c>
      <c r="K41" s="5">
        <f t="shared" si="6"/>
        <v>341.2</v>
      </c>
      <c r="L41" s="4">
        <v>31000</v>
      </c>
      <c r="M41" s="4">
        <f t="shared" si="2"/>
        <v>12575056.673739975</v>
      </c>
      <c r="N41" s="4">
        <f t="shared" si="7"/>
        <v>-1015805.0523823145</v>
      </c>
      <c r="O41" s="4">
        <f t="shared" si="8"/>
        <v>0</v>
      </c>
      <c r="P41" s="4">
        <f t="shared" si="9"/>
        <v>-1015805.0523823145</v>
      </c>
      <c r="T41" s="4">
        <f t="shared" si="10"/>
        <v>33977.154315305728</v>
      </c>
      <c r="U41" s="4">
        <f t="shared" si="11"/>
        <v>-1015805.0523823145</v>
      </c>
      <c r="V41" s="4">
        <f t="shared" si="12"/>
        <v>0</v>
      </c>
      <c r="W41" s="4">
        <f t="shared" si="13"/>
        <v>-1015805.0523823145</v>
      </c>
      <c r="X41" s="5">
        <f t="shared" si="14"/>
        <v>12575056.673739975</v>
      </c>
      <c r="Y41" s="5">
        <f t="shared" si="15"/>
        <v>0</v>
      </c>
      <c r="Z41" s="5">
        <f t="shared" si="15"/>
        <v>0</v>
      </c>
      <c r="AB41" s="5">
        <f t="shared" si="3"/>
        <v>58.800000000000011</v>
      </c>
      <c r="AC41" s="4">
        <f t="shared" si="16"/>
        <v>1997856.6737399772</v>
      </c>
      <c r="AD41" s="4">
        <f t="shared" si="17"/>
        <v>1822800.0000000005</v>
      </c>
      <c r="AE41" s="5">
        <f t="shared" si="18"/>
        <v>175056.67373997672</v>
      </c>
      <c r="AF41" s="3" t="str">
        <f t="shared" si="19"/>
        <v>Y</v>
      </c>
      <c r="AH41" s="4">
        <f t="shared" si="20"/>
        <v>11593005.052382315</v>
      </c>
      <c r="AI41" s="4">
        <f t="shared" si="21"/>
        <v>10577200</v>
      </c>
    </row>
    <row r="42" spans="1:35">
      <c r="A42" s="3">
        <v>40</v>
      </c>
      <c r="B42" s="3" t="s">
        <v>706</v>
      </c>
      <c r="C42" s="3" t="s">
        <v>667</v>
      </c>
      <c r="D42" s="4">
        <v>4600</v>
      </c>
      <c r="E42" s="4">
        <v>220337666.12995064</v>
      </c>
      <c r="F42" s="4">
        <v>0</v>
      </c>
      <c r="G42" s="4">
        <v>0</v>
      </c>
      <c r="H42" s="4">
        <f t="shared" si="4"/>
        <v>220337666.12995064</v>
      </c>
      <c r="I42" s="4">
        <f t="shared" si="5"/>
        <v>47899.49263694579</v>
      </c>
      <c r="J42" s="4">
        <v>4554.3999999999996</v>
      </c>
      <c r="K42" s="5">
        <f t="shared" si="6"/>
        <v>4554.3999999999996</v>
      </c>
      <c r="L42" s="4">
        <v>39500</v>
      </c>
      <c r="M42" s="4">
        <f t="shared" si="2"/>
        <v>182083016.86424473</v>
      </c>
      <c r="N42" s="4">
        <f t="shared" si="7"/>
        <v>-38254649.265705906</v>
      </c>
      <c r="O42" s="4">
        <f t="shared" si="8"/>
        <v>0</v>
      </c>
      <c r="P42" s="4">
        <f t="shared" si="9"/>
        <v>-38254649.265705906</v>
      </c>
      <c r="T42" s="4">
        <f t="shared" si="10"/>
        <v>47899.49263694579</v>
      </c>
      <c r="U42" s="4">
        <f t="shared" si="11"/>
        <v>-38254649.265705906</v>
      </c>
      <c r="V42" s="4">
        <f t="shared" si="12"/>
        <v>0</v>
      </c>
      <c r="W42" s="4">
        <f t="shared" si="13"/>
        <v>-38254649.265705906</v>
      </c>
      <c r="X42" s="5">
        <f t="shared" si="14"/>
        <v>182083016.86424473</v>
      </c>
      <c r="Y42" s="5">
        <f t="shared" si="15"/>
        <v>0</v>
      </c>
      <c r="Z42" s="5">
        <f t="shared" si="15"/>
        <v>0</v>
      </c>
      <c r="AB42" s="5">
        <f t="shared" si="3"/>
        <v>45.600000000000364</v>
      </c>
      <c r="AC42" s="4">
        <f t="shared" si="16"/>
        <v>2184216.8642447456</v>
      </c>
      <c r="AD42" s="4">
        <f t="shared" si="17"/>
        <v>1801200.0000000144</v>
      </c>
      <c r="AE42" s="5">
        <f t="shared" si="18"/>
        <v>383016.86424473114</v>
      </c>
      <c r="AF42" s="3" t="str">
        <f t="shared" si="19"/>
        <v>Y</v>
      </c>
      <c r="AH42" s="4">
        <f t="shared" si="20"/>
        <v>218153449.26570588</v>
      </c>
      <c r="AI42" s="4">
        <f t="shared" si="21"/>
        <v>179898800</v>
      </c>
    </row>
    <row r="43" spans="1:35">
      <c r="A43" s="3">
        <v>41</v>
      </c>
      <c r="B43" s="3" t="s">
        <v>707</v>
      </c>
      <c r="C43" s="3" t="s">
        <v>667</v>
      </c>
      <c r="D43" s="4">
        <v>1300</v>
      </c>
      <c r="E43" s="4">
        <v>57973355.842440099</v>
      </c>
      <c r="F43" s="4">
        <v>0</v>
      </c>
      <c r="G43" s="4">
        <v>0</v>
      </c>
      <c r="H43" s="4">
        <f t="shared" si="4"/>
        <v>57973355.842440099</v>
      </c>
      <c r="I43" s="4">
        <f t="shared" si="5"/>
        <v>44594.889109569303</v>
      </c>
      <c r="J43" s="4">
        <v>1136</v>
      </c>
      <c r="K43" s="5">
        <f t="shared" si="6"/>
        <v>1136</v>
      </c>
      <c r="L43" s="4">
        <v>41200</v>
      </c>
      <c r="M43" s="4">
        <f t="shared" si="2"/>
        <v>54116761.813969374</v>
      </c>
      <c r="N43" s="4">
        <f t="shared" si="7"/>
        <v>-3856594.0284707285</v>
      </c>
      <c r="O43" s="4">
        <f t="shared" si="8"/>
        <v>0</v>
      </c>
      <c r="P43" s="4">
        <f t="shared" si="9"/>
        <v>-3856594.0284707285</v>
      </c>
      <c r="T43" s="4">
        <f t="shared" si="10"/>
        <v>44594.889109569303</v>
      </c>
      <c r="U43" s="4">
        <f t="shared" si="11"/>
        <v>-3856594.0284707285</v>
      </c>
      <c r="V43" s="4">
        <f t="shared" si="12"/>
        <v>0</v>
      </c>
      <c r="W43" s="4">
        <f t="shared" si="13"/>
        <v>-3856594.0284707285</v>
      </c>
      <c r="X43" s="5">
        <f t="shared" si="14"/>
        <v>54116761.813969374</v>
      </c>
      <c r="Y43" s="5">
        <f t="shared" si="15"/>
        <v>0</v>
      </c>
      <c r="Z43" s="5">
        <f t="shared" si="15"/>
        <v>0</v>
      </c>
      <c r="AB43" s="5">
        <f t="shared" si="3"/>
        <v>164</v>
      </c>
      <c r="AC43" s="4">
        <f t="shared" si="16"/>
        <v>7313561.8139693653</v>
      </c>
      <c r="AD43" s="4">
        <f t="shared" si="17"/>
        <v>6756800</v>
      </c>
      <c r="AE43" s="5">
        <f t="shared" si="18"/>
        <v>556761.81396936532</v>
      </c>
      <c r="AF43" s="3" t="str">
        <f t="shared" si="19"/>
        <v>Y</v>
      </c>
      <c r="AH43" s="4">
        <f t="shared" si="20"/>
        <v>50659794.028470732</v>
      </c>
      <c r="AI43" s="4">
        <f t="shared" si="21"/>
        <v>46803200</v>
      </c>
    </row>
    <row r="44" spans="1:35">
      <c r="A44" s="3">
        <v>42</v>
      </c>
      <c r="B44" s="3" t="s">
        <v>708</v>
      </c>
      <c r="C44" s="3" t="s">
        <v>667</v>
      </c>
      <c r="D44" s="4">
        <v>600</v>
      </c>
      <c r="E44" s="4">
        <v>12063296.649556125</v>
      </c>
      <c r="F44" s="4">
        <v>0</v>
      </c>
      <c r="G44" s="4">
        <v>0</v>
      </c>
      <c r="H44" s="4">
        <f t="shared" si="4"/>
        <v>12063296.649556125</v>
      </c>
      <c r="I44" s="4">
        <f t="shared" si="5"/>
        <v>20105.494415926874</v>
      </c>
      <c r="J44" s="4">
        <v>526.20000000000005</v>
      </c>
      <c r="K44" s="5">
        <f t="shared" si="6"/>
        <v>526.20000000000005</v>
      </c>
      <c r="L44" s="4">
        <v>16800</v>
      </c>
      <c r="M44" s="4">
        <f t="shared" si="2"/>
        <v>10323945.487895403</v>
      </c>
      <c r="N44" s="4">
        <f t="shared" si="7"/>
        <v>-1739351.1616607215</v>
      </c>
      <c r="O44" s="4">
        <f t="shared" si="8"/>
        <v>0</v>
      </c>
      <c r="P44" s="4">
        <f t="shared" si="9"/>
        <v>-1739351.1616607215</v>
      </c>
      <c r="T44" s="4">
        <f t="shared" si="10"/>
        <v>20105.494415926874</v>
      </c>
      <c r="U44" s="4">
        <f t="shared" si="11"/>
        <v>-1739351.1616607215</v>
      </c>
      <c r="V44" s="4">
        <f t="shared" si="12"/>
        <v>0</v>
      </c>
      <c r="W44" s="4">
        <f t="shared" si="13"/>
        <v>-1739351.1616607215</v>
      </c>
      <c r="X44" s="5">
        <f t="shared" si="14"/>
        <v>10323945.487895403</v>
      </c>
      <c r="Y44" s="5">
        <f t="shared" si="15"/>
        <v>0</v>
      </c>
      <c r="Z44" s="5">
        <f t="shared" si="15"/>
        <v>0</v>
      </c>
      <c r="AB44" s="5">
        <f t="shared" si="3"/>
        <v>73.799999999999955</v>
      </c>
      <c r="AC44" s="4">
        <f t="shared" si="16"/>
        <v>1483785.4878954024</v>
      </c>
      <c r="AD44" s="4">
        <f t="shared" si="17"/>
        <v>1239839.9999999993</v>
      </c>
      <c r="AE44" s="5">
        <f t="shared" si="18"/>
        <v>243945.48789540306</v>
      </c>
      <c r="AF44" s="3" t="str">
        <f t="shared" si="19"/>
        <v>Y</v>
      </c>
      <c r="AH44" s="4">
        <f t="shared" si="20"/>
        <v>10579511.161660722</v>
      </c>
      <c r="AI44" s="4">
        <f t="shared" si="21"/>
        <v>8840160</v>
      </c>
    </row>
    <row r="45" spans="1:35">
      <c r="A45" s="3">
        <v>43</v>
      </c>
      <c r="B45" s="3" t="s">
        <v>709</v>
      </c>
      <c r="C45" s="3" t="s">
        <v>667</v>
      </c>
      <c r="D45" s="4">
        <v>9693</v>
      </c>
      <c r="E45" s="4">
        <v>57914280.265585639</v>
      </c>
      <c r="F45" s="4">
        <v>0</v>
      </c>
      <c r="G45" s="4">
        <v>0</v>
      </c>
      <c r="H45" s="4">
        <f t="shared" si="4"/>
        <v>57914280.265585639</v>
      </c>
      <c r="I45" s="4">
        <f t="shared" si="5"/>
        <v>5974.8561091081856</v>
      </c>
      <c r="J45" s="4">
        <v>9620.1</v>
      </c>
      <c r="K45" s="5">
        <f t="shared" si="6"/>
        <v>9620.1</v>
      </c>
      <c r="L45" s="4">
        <v>7000</v>
      </c>
      <c r="M45" s="4">
        <f t="shared" si="2"/>
        <v>67776267.010353982</v>
      </c>
      <c r="N45" s="4">
        <f t="shared" si="7"/>
        <v>9861986.7447683439</v>
      </c>
      <c r="O45" s="4">
        <f t="shared" si="8"/>
        <v>9861986.7447683439</v>
      </c>
      <c r="P45" s="4">
        <f t="shared" si="9"/>
        <v>0</v>
      </c>
      <c r="T45" s="4">
        <f t="shared" si="10"/>
        <v>5974.8561091081856</v>
      </c>
      <c r="U45" s="4">
        <f t="shared" si="11"/>
        <v>9861986.7447683439</v>
      </c>
      <c r="V45" s="4">
        <f t="shared" si="12"/>
        <v>9861986.7447683439</v>
      </c>
      <c r="W45" s="4">
        <f t="shared" si="13"/>
        <v>0</v>
      </c>
      <c r="X45" s="5">
        <f t="shared" si="14"/>
        <v>67776267.010353982</v>
      </c>
      <c r="Y45" s="5">
        <f t="shared" si="15"/>
        <v>0</v>
      </c>
      <c r="Z45" s="5">
        <f t="shared" si="15"/>
        <v>0</v>
      </c>
      <c r="AB45" s="5">
        <f t="shared" si="3"/>
        <v>72.899999999999636</v>
      </c>
      <c r="AC45" s="4">
        <f t="shared" si="16"/>
        <v>435567.01035398454</v>
      </c>
      <c r="AD45" s="4">
        <f t="shared" si="17"/>
        <v>510299.99999999744</v>
      </c>
      <c r="AE45" s="5">
        <f t="shared" si="18"/>
        <v>-74732.989646012895</v>
      </c>
      <c r="AF45" s="3" t="str">
        <f t="shared" si="19"/>
        <v>N</v>
      </c>
      <c r="AH45" s="4">
        <f t="shared" si="20"/>
        <v>57478713.255231656</v>
      </c>
      <c r="AI45" s="4">
        <f t="shared" si="21"/>
        <v>67340700</v>
      </c>
    </row>
    <row r="46" spans="1:35">
      <c r="A46" s="3">
        <v>44</v>
      </c>
      <c r="B46" s="3" t="s">
        <v>710</v>
      </c>
      <c r="C46" s="3" t="s">
        <v>667</v>
      </c>
      <c r="D46" s="4">
        <v>200</v>
      </c>
      <c r="E46" s="4">
        <v>11004324.373650666</v>
      </c>
      <c r="F46" s="4">
        <v>0</v>
      </c>
      <c r="G46" s="4">
        <v>0</v>
      </c>
      <c r="H46" s="4">
        <f t="shared" si="4"/>
        <v>11004324.373650666</v>
      </c>
      <c r="I46" s="4">
        <f t="shared" si="5"/>
        <v>55021.621868253329</v>
      </c>
      <c r="J46" s="4">
        <v>197.4</v>
      </c>
      <c r="K46" s="5">
        <f t="shared" si="6"/>
        <v>197.4</v>
      </c>
      <c r="L46" s="4">
        <v>68200</v>
      </c>
      <c r="M46" s="4">
        <f t="shared" si="2"/>
        <v>13605736.216857459</v>
      </c>
      <c r="N46" s="4">
        <f t="shared" si="7"/>
        <v>2601411.8432067931</v>
      </c>
      <c r="O46" s="4">
        <f t="shared" si="8"/>
        <v>2601411.8432067931</v>
      </c>
      <c r="P46" s="4">
        <f t="shared" si="9"/>
        <v>0</v>
      </c>
      <c r="T46" s="4">
        <f t="shared" si="10"/>
        <v>55021.621868253329</v>
      </c>
      <c r="U46" s="4">
        <f t="shared" si="11"/>
        <v>2601411.8432067931</v>
      </c>
      <c r="V46" s="4">
        <f t="shared" si="12"/>
        <v>2601411.8432067931</v>
      </c>
      <c r="W46" s="4">
        <f t="shared" si="13"/>
        <v>0</v>
      </c>
      <c r="X46" s="5">
        <f t="shared" si="14"/>
        <v>13605736.216857459</v>
      </c>
      <c r="Y46" s="5">
        <f t="shared" si="15"/>
        <v>0</v>
      </c>
      <c r="Z46" s="5">
        <f t="shared" si="15"/>
        <v>0</v>
      </c>
      <c r="AB46" s="5">
        <f t="shared" si="3"/>
        <v>2.5999999999999943</v>
      </c>
      <c r="AC46" s="4">
        <f t="shared" si="16"/>
        <v>143056.21685745835</v>
      </c>
      <c r="AD46" s="4">
        <f t="shared" si="17"/>
        <v>177319.99999999962</v>
      </c>
      <c r="AE46" s="5">
        <f t="shared" si="18"/>
        <v>-34263.783142541273</v>
      </c>
      <c r="AF46" s="3" t="str">
        <f t="shared" si="19"/>
        <v>N</v>
      </c>
      <c r="AH46" s="4">
        <f t="shared" si="20"/>
        <v>10861268.156793207</v>
      </c>
      <c r="AI46" s="4">
        <f t="shared" si="21"/>
        <v>13462680</v>
      </c>
    </row>
    <row r="47" spans="1:35">
      <c r="A47" s="3">
        <v>45</v>
      </c>
      <c r="B47" s="3" t="s">
        <v>711</v>
      </c>
      <c r="C47" s="3" t="s">
        <v>667</v>
      </c>
      <c r="D47" s="4">
        <v>700</v>
      </c>
      <c r="E47" s="4">
        <v>18406941.698848806</v>
      </c>
      <c r="F47" s="4">
        <v>0</v>
      </c>
      <c r="G47" s="4">
        <v>0</v>
      </c>
      <c r="H47" s="4">
        <f t="shared" si="4"/>
        <v>18406941.698848806</v>
      </c>
      <c r="I47" s="4">
        <f t="shared" si="5"/>
        <v>26295.630998355438</v>
      </c>
      <c r="J47" s="4">
        <v>776</v>
      </c>
      <c r="K47" s="5">
        <f t="shared" si="6"/>
        <v>700</v>
      </c>
      <c r="L47" s="4">
        <v>26500</v>
      </c>
      <c r="M47" s="4">
        <f t="shared" si="2"/>
        <v>18550000</v>
      </c>
      <c r="N47" s="4">
        <f t="shared" si="7"/>
        <v>143058.30115119315</v>
      </c>
      <c r="O47" s="4">
        <f t="shared" si="8"/>
        <v>143058.30115119315</v>
      </c>
      <c r="P47" s="4">
        <f t="shared" si="9"/>
        <v>0</v>
      </c>
      <c r="T47" s="4">
        <f t="shared" si="10"/>
        <v>26295.630998355438</v>
      </c>
      <c r="U47" s="4">
        <f t="shared" si="11"/>
        <v>143058.30115119315</v>
      </c>
      <c r="V47" s="4">
        <f t="shared" si="12"/>
        <v>143058.30115119315</v>
      </c>
      <c r="W47" s="4">
        <f t="shared" si="13"/>
        <v>0</v>
      </c>
      <c r="X47" s="5">
        <f t="shared" si="14"/>
        <v>18550000</v>
      </c>
      <c r="Y47" s="5">
        <f t="shared" si="15"/>
        <v>0</v>
      </c>
      <c r="Z47" s="5">
        <f t="shared" si="15"/>
        <v>0</v>
      </c>
      <c r="AB47" s="5">
        <f t="shared" si="3"/>
        <v>-76</v>
      </c>
      <c r="AC47" s="4">
        <f t="shared" si="16"/>
        <v>-1998467.9558750133</v>
      </c>
      <c r="AD47" s="4">
        <f t="shared" si="17"/>
        <v>-2014000</v>
      </c>
      <c r="AE47" s="5">
        <f t="shared" si="18"/>
        <v>0</v>
      </c>
      <c r="AF47" s="3" t="str">
        <f t="shared" si="19"/>
        <v>N</v>
      </c>
      <c r="AH47" s="4">
        <f t="shared" si="20"/>
        <v>18406941.698848806</v>
      </c>
      <c r="AI47" s="4">
        <f t="shared" si="21"/>
        <v>18550000</v>
      </c>
    </row>
    <row r="48" spans="1:35">
      <c r="A48" s="3">
        <v>46</v>
      </c>
      <c r="B48" s="3" t="s">
        <v>712</v>
      </c>
      <c r="C48" s="3" t="s">
        <v>667</v>
      </c>
      <c r="D48" s="4">
        <v>10562</v>
      </c>
      <c r="E48" s="4">
        <v>63097958.384238482</v>
      </c>
      <c r="F48" s="4">
        <v>0</v>
      </c>
      <c r="G48" s="4">
        <v>0</v>
      </c>
      <c r="H48" s="4">
        <f t="shared" si="4"/>
        <v>63097958.384238482</v>
      </c>
      <c r="I48" s="4">
        <f t="shared" si="5"/>
        <v>5974.0540034310243</v>
      </c>
      <c r="J48" s="4">
        <v>10467.200000000001</v>
      </c>
      <c r="K48" s="5">
        <f t="shared" si="6"/>
        <v>10467.200000000001</v>
      </c>
      <c r="L48" s="4">
        <v>7200</v>
      </c>
      <c r="M48" s="4">
        <f t="shared" si="2"/>
        <v>75930180.319525272</v>
      </c>
      <c r="N48" s="4">
        <f t="shared" si="7"/>
        <v>12832221.935286783</v>
      </c>
      <c r="O48" s="4">
        <f t="shared" si="8"/>
        <v>12832221.935286783</v>
      </c>
      <c r="P48" s="4">
        <f t="shared" si="9"/>
        <v>0</v>
      </c>
      <c r="T48" s="4">
        <f t="shared" si="10"/>
        <v>5974.0540034310243</v>
      </c>
      <c r="U48" s="4">
        <f t="shared" si="11"/>
        <v>12832221.935286783</v>
      </c>
      <c r="V48" s="4">
        <f t="shared" si="12"/>
        <v>12832221.935286783</v>
      </c>
      <c r="W48" s="4">
        <f t="shared" si="13"/>
        <v>0</v>
      </c>
      <c r="X48" s="5">
        <f t="shared" si="14"/>
        <v>75930180.319525272</v>
      </c>
      <c r="Y48" s="5">
        <f t="shared" si="15"/>
        <v>0</v>
      </c>
      <c r="Z48" s="5">
        <f t="shared" si="15"/>
        <v>0</v>
      </c>
      <c r="AB48" s="5">
        <f t="shared" si="3"/>
        <v>94.799999999999272</v>
      </c>
      <c r="AC48" s="4">
        <f t="shared" si="16"/>
        <v>566340.31952525675</v>
      </c>
      <c r="AD48" s="4">
        <f t="shared" si="17"/>
        <v>682559.99999999476</v>
      </c>
      <c r="AE48" s="5">
        <f t="shared" si="18"/>
        <v>-116219.68047473801</v>
      </c>
      <c r="AF48" s="3" t="str">
        <f t="shared" si="19"/>
        <v>N</v>
      </c>
      <c r="AH48" s="4">
        <f t="shared" si="20"/>
        <v>62531618.064713225</v>
      </c>
      <c r="AI48" s="4">
        <f t="shared" si="21"/>
        <v>75363840</v>
      </c>
    </row>
    <row r="49" spans="1:35">
      <c r="A49" s="3">
        <v>47</v>
      </c>
      <c r="B49" s="3" t="s">
        <v>713</v>
      </c>
      <c r="C49" s="3" t="s">
        <v>667</v>
      </c>
      <c r="D49" s="4">
        <v>800</v>
      </c>
      <c r="E49" s="4">
        <v>14492146.360098023</v>
      </c>
      <c r="F49" s="4">
        <v>0</v>
      </c>
      <c r="G49" s="4">
        <v>0</v>
      </c>
      <c r="H49" s="4">
        <f t="shared" si="4"/>
        <v>14492146.360098023</v>
      </c>
      <c r="I49" s="4">
        <f t="shared" si="5"/>
        <v>18115.182950122529</v>
      </c>
      <c r="J49" s="4">
        <v>715.8</v>
      </c>
      <c r="K49" s="5">
        <f t="shared" si="6"/>
        <v>715.8</v>
      </c>
      <c r="L49" s="4">
        <v>20050</v>
      </c>
      <c r="M49" s="4">
        <f t="shared" si="2"/>
        <v>15877088.404400317</v>
      </c>
      <c r="N49" s="4">
        <f t="shared" si="7"/>
        <v>1384942.0443022933</v>
      </c>
      <c r="O49" s="4">
        <f t="shared" si="8"/>
        <v>1384942.0443022933</v>
      </c>
      <c r="P49" s="4">
        <f t="shared" si="9"/>
        <v>0</v>
      </c>
      <c r="T49" s="4">
        <f t="shared" si="10"/>
        <v>18115.182950122529</v>
      </c>
      <c r="U49" s="4">
        <f t="shared" si="11"/>
        <v>1384942.0443022933</v>
      </c>
      <c r="V49" s="4">
        <f t="shared" si="12"/>
        <v>1384942.0443022933</v>
      </c>
      <c r="W49" s="4">
        <f t="shared" si="13"/>
        <v>0</v>
      </c>
      <c r="X49" s="5">
        <f t="shared" si="14"/>
        <v>15877088.404400317</v>
      </c>
      <c r="Y49" s="5">
        <f t="shared" si="15"/>
        <v>0</v>
      </c>
      <c r="Z49" s="5">
        <f t="shared" si="15"/>
        <v>0</v>
      </c>
      <c r="AB49" s="5">
        <f t="shared" si="3"/>
        <v>84.200000000000045</v>
      </c>
      <c r="AC49" s="4">
        <f t="shared" si="16"/>
        <v>1525298.4044003177</v>
      </c>
      <c r="AD49" s="4">
        <f t="shared" si="17"/>
        <v>1688210.0000000009</v>
      </c>
      <c r="AE49" s="5">
        <f t="shared" si="18"/>
        <v>-162911.59559968323</v>
      </c>
      <c r="AF49" s="3" t="str">
        <f t="shared" si="19"/>
        <v>N</v>
      </c>
      <c r="AH49" s="4">
        <f t="shared" si="20"/>
        <v>12966847.955697706</v>
      </c>
      <c r="AI49" s="4">
        <f t="shared" si="21"/>
        <v>14351790</v>
      </c>
    </row>
    <row r="50" spans="1:35">
      <c r="A50" s="3">
        <v>48</v>
      </c>
      <c r="B50" s="3" t="s">
        <v>714</v>
      </c>
      <c r="C50" s="3" t="s">
        <v>667</v>
      </c>
      <c r="D50" s="4">
        <v>5900</v>
      </c>
      <c r="E50" s="4">
        <v>83814002.631905615</v>
      </c>
      <c r="F50" s="4">
        <v>0</v>
      </c>
      <c r="G50" s="4">
        <v>0</v>
      </c>
      <c r="H50" s="4">
        <f t="shared" si="4"/>
        <v>83814002.631905615</v>
      </c>
      <c r="I50" s="4">
        <f t="shared" si="5"/>
        <v>14205.763157950105</v>
      </c>
      <c r="J50" s="4">
        <v>5755.8</v>
      </c>
      <c r="K50" s="5">
        <f t="shared" si="6"/>
        <v>5755.8</v>
      </c>
      <c r="L50" s="4">
        <v>14205.763157950105</v>
      </c>
      <c r="M50" s="4">
        <f t="shared" si="2"/>
        <v>83814002.631905615</v>
      </c>
      <c r="N50" s="4">
        <f t="shared" si="7"/>
        <v>0</v>
      </c>
      <c r="O50" s="4">
        <f t="shared" si="8"/>
        <v>0</v>
      </c>
      <c r="P50" s="4">
        <f t="shared" si="9"/>
        <v>0</v>
      </c>
      <c r="Q50" s="3" t="s">
        <v>715</v>
      </c>
      <c r="T50" s="4">
        <f t="shared" si="10"/>
        <v>14205.763157950105</v>
      </c>
      <c r="U50" s="4">
        <f t="shared" si="11"/>
        <v>0</v>
      </c>
      <c r="V50" s="4">
        <f t="shared" si="12"/>
        <v>0</v>
      </c>
      <c r="W50" s="4">
        <f t="shared" si="13"/>
        <v>0</v>
      </c>
      <c r="X50" s="5">
        <f t="shared" si="14"/>
        <v>83814002.631905615</v>
      </c>
      <c r="Y50" s="5">
        <f t="shared" si="15"/>
        <v>0</v>
      </c>
      <c r="Z50" s="5">
        <f t="shared" si="15"/>
        <v>0</v>
      </c>
      <c r="AB50" s="5">
        <f t="shared" si="3"/>
        <v>144.19999999999982</v>
      </c>
      <c r="AC50" s="4">
        <f t="shared" si="16"/>
        <v>2048471.0473764027</v>
      </c>
      <c r="AD50" s="4">
        <f t="shared" si="17"/>
        <v>2048471.0473764027</v>
      </c>
      <c r="AE50" s="5">
        <f t="shared" si="18"/>
        <v>0</v>
      </c>
      <c r="AF50" s="3" t="str">
        <f t="shared" si="19"/>
        <v>N</v>
      </c>
      <c r="AH50" s="4">
        <f t="shared" si="20"/>
        <v>81765531.584529221</v>
      </c>
      <c r="AI50" s="4">
        <f t="shared" si="21"/>
        <v>81765531.584529221</v>
      </c>
    </row>
    <row r="51" spans="1:35">
      <c r="A51" s="3">
        <v>49</v>
      </c>
      <c r="B51" s="3" t="s">
        <v>716</v>
      </c>
      <c r="C51" s="3" t="s">
        <v>667</v>
      </c>
      <c r="D51" s="4">
        <v>600</v>
      </c>
      <c r="E51" s="4">
        <v>14681912.133298736</v>
      </c>
      <c r="F51" s="4">
        <v>0</v>
      </c>
      <c r="G51" s="4">
        <v>0</v>
      </c>
      <c r="H51" s="4">
        <f t="shared" si="4"/>
        <v>14681912.133298736</v>
      </c>
      <c r="I51" s="4">
        <f t="shared" si="5"/>
        <v>24469.853555497892</v>
      </c>
      <c r="J51" s="4">
        <v>556.20000000000005</v>
      </c>
      <c r="K51" s="5">
        <f t="shared" si="6"/>
        <v>556.20000000000005</v>
      </c>
      <c r="L51" s="4">
        <v>25300</v>
      </c>
      <c r="M51" s="4">
        <f t="shared" si="2"/>
        <v>15143639.58573081</v>
      </c>
      <c r="N51" s="4">
        <f t="shared" si="7"/>
        <v>461727.45243207272</v>
      </c>
      <c r="O51" s="4">
        <f t="shared" si="8"/>
        <v>461727.45243207272</v>
      </c>
      <c r="P51" s="4">
        <f t="shared" si="9"/>
        <v>0</v>
      </c>
      <c r="T51" s="4">
        <f t="shared" si="10"/>
        <v>24469.853555497892</v>
      </c>
      <c r="U51" s="4">
        <f t="shared" si="11"/>
        <v>461727.45243207272</v>
      </c>
      <c r="V51" s="4">
        <f t="shared" si="12"/>
        <v>461727.45243207272</v>
      </c>
      <c r="W51" s="4">
        <f t="shared" si="13"/>
        <v>0</v>
      </c>
      <c r="X51" s="5">
        <f t="shared" si="14"/>
        <v>15143639.58573081</v>
      </c>
      <c r="Y51" s="5">
        <f t="shared" si="15"/>
        <v>0</v>
      </c>
      <c r="Z51" s="5">
        <f t="shared" si="15"/>
        <v>0</v>
      </c>
      <c r="AB51" s="5">
        <f t="shared" si="3"/>
        <v>43.799999999999955</v>
      </c>
      <c r="AC51" s="4">
        <f t="shared" si="16"/>
        <v>1071779.5857308065</v>
      </c>
      <c r="AD51" s="4">
        <f t="shared" si="17"/>
        <v>1108139.9999999988</v>
      </c>
      <c r="AE51" s="5">
        <f t="shared" si="18"/>
        <v>-36360.414269192377</v>
      </c>
      <c r="AF51" s="3" t="str">
        <f t="shared" si="19"/>
        <v>N</v>
      </c>
      <c r="AH51" s="4">
        <f t="shared" si="20"/>
        <v>13610132.547567928</v>
      </c>
      <c r="AI51" s="4">
        <f t="shared" si="21"/>
        <v>14071860.000000002</v>
      </c>
    </row>
    <row r="52" spans="1:35">
      <c r="A52" s="3">
        <v>50</v>
      </c>
      <c r="B52" s="3" t="s">
        <v>717</v>
      </c>
      <c r="C52" s="3" t="s">
        <v>667</v>
      </c>
      <c r="D52" s="4">
        <v>11900</v>
      </c>
      <c r="E52" s="4">
        <v>46855769.055398382</v>
      </c>
      <c r="F52" s="4">
        <v>0</v>
      </c>
      <c r="G52" s="4">
        <v>0</v>
      </c>
      <c r="H52" s="4">
        <f t="shared" si="4"/>
        <v>46855769.055398382</v>
      </c>
      <c r="I52" s="4">
        <f t="shared" si="5"/>
        <v>3937.4595844872592</v>
      </c>
      <c r="J52" s="4">
        <v>12051.6</v>
      </c>
      <c r="K52" s="5">
        <f t="shared" si="6"/>
        <v>11900</v>
      </c>
      <c r="L52" s="4">
        <v>6480</v>
      </c>
      <c r="M52" s="4">
        <f t="shared" si="2"/>
        <v>77112000</v>
      </c>
      <c r="N52" s="4">
        <f t="shared" si="7"/>
        <v>30256230.944601614</v>
      </c>
      <c r="O52" s="4">
        <f t="shared" si="8"/>
        <v>30256230.944601614</v>
      </c>
      <c r="P52" s="4">
        <f t="shared" si="9"/>
        <v>0</v>
      </c>
      <c r="T52" s="4">
        <f t="shared" si="10"/>
        <v>3937.4595844872592</v>
      </c>
      <c r="U52" s="4">
        <f t="shared" si="11"/>
        <v>30256230.944601614</v>
      </c>
      <c r="V52" s="4">
        <f t="shared" si="12"/>
        <v>30256230.944601614</v>
      </c>
      <c r="W52" s="4">
        <f t="shared" si="13"/>
        <v>0</v>
      </c>
      <c r="X52" s="5">
        <f t="shared" si="14"/>
        <v>77112000</v>
      </c>
      <c r="Y52" s="5">
        <f t="shared" si="15"/>
        <v>0</v>
      </c>
      <c r="Z52" s="5">
        <f t="shared" si="15"/>
        <v>0</v>
      </c>
      <c r="AB52" s="5">
        <f t="shared" si="3"/>
        <v>-151.60000000000036</v>
      </c>
      <c r="AC52" s="4">
        <f t="shared" si="16"/>
        <v>-596918.87300826993</v>
      </c>
      <c r="AD52" s="4">
        <f t="shared" si="17"/>
        <v>-982368.00000000233</v>
      </c>
      <c r="AE52" s="5">
        <f t="shared" si="18"/>
        <v>0</v>
      </c>
      <c r="AF52" s="3" t="str">
        <f t="shared" si="19"/>
        <v>N</v>
      </c>
      <c r="AH52" s="4">
        <f t="shared" si="20"/>
        <v>46855769.055398382</v>
      </c>
      <c r="AI52" s="4">
        <f t="shared" si="21"/>
        <v>77112000</v>
      </c>
    </row>
    <row r="53" spans="1:35">
      <c r="A53" s="3">
        <v>51</v>
      </c>
      <c r="B53" s="3" t="s">
        <v>718</v>
      </c>
      <c r="C53" s="3" t="s">
        <v>667</v>
      </c>
      <c r="D53" s="4">
        <v>24600</v>
      </c>
      <c r="E53" s="4">
        <v>401212410.83522534</v>
      </c>
      <c r="F53" s="4">
        <v>0</v>
      </c>
      <c r="G53" s="4">
        <v>0</v>
      </c>
      <c r="H53" s="4">
        <f t="shared" si="4"/>
        <v>401212410.83522534</v>
      </c>
      <c r="I53" s="4">
        <f t="shared" si="5"/>
        <v>16309.44759492786</v>
      </c>
      <c r="J53" s="4">
        <v>24560.6</v>
      </c>
      <c r="K53" s="5">
        <f t="shared" si="6"/>
        <v>24560.6</v>
      </c>
      <c r="L53" s="4">
        <v>17250</v>
      </c>
      <c r="M53" s="4">
        <f t="shared" si="2"/>
        <v>424312942.23524016</v>
      </c>
      <c r="N53" s="4">
        <f t="shared" si="7"/>
        <v>23100531.400014792</v>
      </c>
      <c r="O53" s="4">
        <f t="shared" si="8"/>
        <v>23100531.400014792</v>
      </c>
      <c r="P53" s="4">
        <f t="shared" si="9"/>
        <v>0</v>
      </c>
      <c r="T53" s="4">
        <f t="shared" si="10"/>
        <v>16309.44759492786</v>
      </c>
      <c r="U53" s="4">
        <f t="shared" si="11"/>
        <v>23100531.400014792</v>
      </c>
      <c r="V53" s="4">
        <f t="shared" si="12"/>
        <v>23100531.400014792</v>
      </c>
      <c r="W53" s="4">
        <f t="shared" si="13"/>
        <v>0</v>
      </c>
      <c r="X53" s="5">
        <f t="shared" si="14"/>
        <v>424312942.23524016</v>
      </c>
      <c r="Y53" s="5">
        <f t="shared" si="15"/>
        <v>0</v>
      </c>
      <c r="Z53" s="5">
        <f t="shared" si="15"/>
        <v>0</v>
      </c>
      <c r="AB53" s="5">
        <f t="shared" si="3"/>
        <v>39.400000000001455</v>
      </c>
      <c r="AC53" s="4">
        <f t="shared" si="16"/>
        <v>642592.23524018144</v>
      </c>
      <c r="AD53" s="4">
        <f t="shared" si="17"/>
        <v>679650.00000002515</v>
      </c>
      <c r="AE53" s="5">
        <f t="shared" si="18"/>
        <v>-37057.764759843703</v>
      </c>
      <c r="AF53" s="3" t="str">
        <f t="shared" si="19"/>
        <v>N</v>
      </c>
      <c r="AH53" s="4">
        <f t="shared" si="20"/>
        <v>400569818.59998518</v>
      </c>
      <c r="AI53" s="4">
        <f t="shared" si="21"/>
        <v>423670350</v>
      </c>
    </row>
    <row r="54" spans="1:35">
      <c r="A54" s="3">
        <v>52</v>
      </c>
      <c r="B54" s="3" t="s">
        <v>719</v>
      </c>
      <c r="C54" s="3" t="s">
        <v>667</v>
      </c>
      <c r="D54" s="4">
        <v>810</v>
      </c>
      <c r="E54" s="4">
        <v>18048574.663818404</v>
      </c>
      <c r="F54" s="4">
        <v>0</v>
      </c>
      <c r="G54" s="4">
        <v>0</v>
      </c>
      <c r="H54" s="4">
        <f t="shared" si="4"/>
        <v>18048574.663818404</v>
      </c>
      <c r="I54" s="4">
        <f t="shared" si="5"/>
        <v>22282.190942985682</v>
      </c>
      <c r="J54" s="4">
        <v>676.1</v>
      </c>
      <c r="K54" s="5">
        <f t="shared" si="6"/>
        <v>676.1</v>
      </c>
      <c r="L54" s="4">
        <v>21850</v>
      </c>
      <c r="M54" s="4">
        <f t="shared" si="2"/>
        <v>17756370.367265783</v>
      </c>
      <c r="N54" s="4">
        <f t="shared" si="7"/>
        <v>-292204.29655261984</v>
      </c>
      <c r="O54" s="4">
        <f t="shared" si="8"/>
        <v>0</v>
      </c>
      <c r="P54" s="4">
        <f t="shared" si="9"/>
        <v>-292204.29655261984</v>
      </c>
      <c r="T54" s="4">
        <f t="shared" si="10"/>
        <v>22282.190942985682</v>
      </c>
      <c r="U54" s="4">
        <f t="shared" si="11"/>
        <v>-292204.29655261984</v>
      </c>
      <c r="V54" s="4">
        <f t="shared" si="12"/>
        <v>0</v>
      </c>
      <c r="W54" s="4">
        <f t="shared" si="13"/>
        <v>-292204.29655261984</v>
      </c>
      <c r="X54" s="5">
        <f t="shared" si="14"/>
        <v>17756370.367265783</v>
      </c>
      <c r="Y54" s="5">
        <f t="shared" si="15"/>
        <v>0</v>
      </c>
      <c r="Z54" s="5">
        <f t="shared" si="15"/>
        <v>0</v>
      </c>
      <c r="AB54" s="5">
        <f t="shared" si="3"/>
        <v>133.89999999999998</v>
      </c>
      <c r="AC54" s="4">
        <f t="shared" si="16"/>
        <v>2983585.3672657823</v>
      </c>
      <c r="AD54" s="4">
        <f t="shared" si="17"/>
        <v>2925714.9999999995</v>
      </c>
      <c r="AE54" s="5">
        <f t="shared" si="18"/>
        <v>57870.367265782785</v>
      </c>
      <c r="AF54" s="3" t="str">
        <f t="shared" si="19"/>
        <v>Y</v>
      </c>
      <c r="AH54" s="4">
        <f t="shared" si="20"/>
        <v>15064989.296552621</v>
      </c>
      <c r="AI54" s="4">
        <f t="shared" si="21"/>
        <v>14772785</v>
      </c>
    </row>
    <row r="55" spans="1:35">
      <c r="A55" s="3">
        <v>53</v>
      </c>
      <c r="B55" s="3" t="s">
        <v>720</v>
      </c>
      <c r="C55" s="3" t="s">
        <v>667</v>
      </c>
      <c r="D55" s="4">
        <v>100</v>
      </c>
      <c r="E55" s="4">
        <v>3442162.1558384132</v>
      </c>
      <c r="F55" s="4">
        <v>0</v>
      </c>
      <c r="G55" s="4">
        <v>0</v>
      </c>
      <c r="H55" s="4">
        <f t="shared" si="4"/>
        <v>3442162.1558384132</v>
      </c>
      <c r="I55" s="4">
        <f t="shared" si="5"/>
        <v>34421.621558384133</v>
      </c>
      <c r="J55" s="4">
        <v>27.5</v>
      </c>
      <c r="K55" s="5">
        <f t="shared" si="6"/>
        <v>27.5</v>
      </c>
      <c r="L55" s="4">
        <v>37550</v>
      </c>
      <c r="M55" s="4">
        <f t="shared" si="2"/>
        <v>3528192.5629828493</v>
      </c>
      <c r="N55" s="4">
        <f t="shared" si="7"/>
        <v>86030.407144436336</v>
      </c>
      <c r="O55" s="4">
        <f t="shared" si="8"/>
        <v>86030.407144436336</v>
      </c>
      <c r="P55" s="4">
        <f t="shared" si="9"/>
        <v>0</v>
      </c>
      <c r="T55" s="4">
        <f t="shared" si="10"/>
        <v>34421.621558384133</v>
      </c>
      <c r="U55" s="4">
        <f t="shared" si="11"/>
        <v>86030.407144436336</v>
      </c>
      <c r="V55" s="4">
        <f t="shared" si="12"/>
        <v>86030.407144436336</v>
      </c>
      <c r="W55" s="4">
        <f t="shared" si="13"/>
        <v>0</v>
      </c>
      <c r="X55" s="5">
        <f t="shared" si="14"/>
        <v>3528192.5629828493</v>
      </c>
      <c r="Y55" s="5">
        <f t="shared" si="15"/>
        <v>0</v>
      </c>
      <c r="Z55" s="5">
        <f t="shared" si="15"/>
        <v>0</v>
      </c>
      <c r="AB55" s="5">
        <f t="shared" si="3"/>
        <v>72.5</v>
      </c>
      <c r="AC55" s="4">
        <f t="shared" si="16"/>
        <v>2495567.5629828498</v>
      </c>
      <c r="AD55" s="4">
        <f t="shared" si="17"/>
        <v>2722375</v>
      </c>
      <c r="AE55" s="5">
        <f t="shared" si="18"/>
        <v>-226807.43701715022</v>
      </c>
      <c r="AF55" s="3" t="str">
        <f t="shared" si="19"/>
        <v>N</v>
      </c>
      <c r="AH55" s="4">
        <f t="shared" si="20"/>
        <v>946594.59285556362</v>
      </c>
      <c r="AI55" s="4">
        <f t="shared" si="21"/>
        <v>1032625</v>
      </c>
    </row>
    <row r="56" spans="1:35">
      <c r="A56" s="3">
        <v>54</v>
      </c>
      <c r="B56" s="3" t="s">
        <v>721</v>
      </c>
      <c r="C56" s="3" t="s">
        <v>667</v>
      </c>
      <c r="D56" s="4">
        <v>1300</v>
      </c>
      <c r="E56" s="4">
        <v>35465810.21771951</v>
      </c>
      <c r="F56" s="4">
        <v>0</v>
      </c>
      <c r="G56" s="4">
        <v>0</v>
      </c>
      <c r="H56" s="4">
        <f t="shared" si="4"/>
        <v>35465810.21771951</v>
      </c>
      <c r="I56" s="4">
        <f t="shared" si="5"/>
        <v>27281.392475168854</v>
      </c>
      <c r="J56" s="4">
        <v>1265.0999999999999</v>
      </c>
      <c r="K56" s="5">
        <f t="shared" si="6"/>
        <v>1265.0999999999999</v>
      </c>
      <c r="L56" s="4">
        <v>36900</v>
      </c>
      <c r="M56" s="4">
        <f t="shared" si="2"/>
        <v>47634310.597383395</v>
      </c>
      <c r="N56" s="4">
        <f t="shared" si="7"/>
        <v>12168500.379663883</v>
      </c>
      <c r="O56" s="4">
        <f t="shared" si="8"/>
        <v>12168500.379663883</v>
      </c>
      <c r="P56" s="4">
        <f t="shared" si="9"/>
        <v>0</v>
      </c>
      <c r="T56" s="4">
        <f t="shared" si="10"/>
        <v>27281.392475168854</v>
      </c>
      <c r="U56" s="4">
        <f t="shared" si="11"/>
        <v>12168500.379663883</v>
      </c>
      <c r="V56" s="4">
        <f t="shared" si="12"/>
        <v>12168500.379663883</v>
      </c>
      <c r="W56" s="4">
        <f t="shared" si="13"/>
        <v>0</v>
      </c>
      <c r="X56" s="5">
        <f t="shared" si="14"/>
        <v>47634310.597383395</v>
      </c>
      <c r="Y56" s="5">
        <f t="shared" si="15"/>
        <v>0</v>
      </c>
      <c r="Z56" s="5">
        <f t="shared" si="15"/>
        <v>0</v>
      </c>
      <c r="AB56" s="5">
        <f t="shared" si="3"/>
        <v>34.900000000000091</v>
      </c>
      <c r="AC56" s="4">
        <f t="shared" si="16"/>
        <v>952120.59738339542</v>
      </c>
      <c r="AD56" s="4">
        <f t="shared" si="17"/>
        <v>1287810.0000000033</v>
      </c>
      <c r="AE56" s="5">
        <f t="shared" si="18"/>
        <v>-335689.40261660784</v>
      </c>
      <c r="AF56" s="3" t="str">
        <f t="shared" si="19"/>
        <v>N</v>
      </c>
      <c r="AH56" s="4">
        <f t="shared" si="20"/>
        <v>34513689.620336115</v>
      </c>
      <c r="AI56" s="4">
        <f t="shared" si="21"/>
        <v>46682190</v>
      </c>
    </row>
    <row r="57" spans="1:35">
      <c r="A57" s="3">
        <v>55</v>
      </c>
      <c r="B57" s="3" t="s">
        <v>722</v>
      </c>
      <c r="C57" s="3" t="s">
        <v>667</v>
      </c>
      <c r="D57" s="4">
        <v>1418</v>
      </c>
      <c r="E57" s="4">
        <v>44943165.239574529</v>
      </c>
      <c r="F57" s="4">
        <v>0</v>
      </c>
      <c r="G57" s="4">
        <v>0</v>
      </c>
      <c r="H57" s="4">
        <f t="shared" si="4"/>
        <v>44943165.239574529</v>
      </c>
      <c r="I57" s="4">
        <f t="shared" si="5"/>
        <v>31694.756868529286</v>
      </c>
      <c r="J57" s="4">
        <v>1335.6</v>
      </c>
      <c r="K57" s="5">
        <f t="shared" si="6"/>
        <v>1335.6</v>
      </c>
      <c r="L57" s="4">
        <v>43500</v>
      </c>
      <c r="M57" s="4">
        <f t="shared" si="2"/>
        <v>60710247.965966813</v>
      </c>
      <c r="N57" s="4">
        <f t="shared" si="7"/>
        <v>15767082.726392284</v>
      </c>
      <c r="O57" s="4">
        <f t="shared" si="8"/>
        <v>15767082.726392284</v>
      </c>
      <c r="P57" s="4">
        <f t="shared" si="9"/>
        <v>0</v>
      </c>
      <c r="T57" s="4">
        <f t="shared" si="10"/>
        <v>31694.756868529286</v>
      </c>
      <c r="U57" s="4">
        <f t="shared" si="11"/>
        <v>15767082.726392284</v>
      </c>
      <c r="V57" s="4">
        <f t="shared" si="12"/>
        <v>15767082.726392284</v>
      </c>
      <c r="W57" s="4">
        <f t="shared" si="13"/>
        <v>0</v>
      </c>
      <c r="X57" s="5">
        <f t="shared" si="14"/>
        <v>60710247.965966813</v>
      </c>
      <c r="Y57" s="5">
        <f t="shared" si="15"/>
        <v>0</v>
      </c>
      <c r="Z57" s="5">
        <f t="shared" si="15"/>
        <v>0</v>
      </c>
      <c r="AB57" s="5">
        <f t="shared" si="3"/>
        <v>82.400000000000091</v>
      </c>
      <c r="AC57" s="4">
        <f t="shared" si="16"/>
        <v>2611647.9659668161</v>
      </c>
      <c r="AD57" s="4">
        <f t="shared" si="17"/>
        <v>3584400.0000000037</v>
      </c>
      <c r="AE57" s="5">
        <f t="shared" si="18"/>
        <v>-972752.03403318767</v>
      </c>
      <c r="AF57" s="3" t="str">
        <f t="shared" si="19"/>
        <v>N</v>
      </c>
      <c r="AH57" s="4">
        <f t="shared" si="20"/>
        <v>42331517.273607709</v>
      </c>
      <c r="AI57" s="4">
        <f t="shared" si="21"/>
        <v>58098599.999999993</v>
      </c>
    </row>
    <row r="58" spans="1:35">
      <c r="A58" s="3">
        <v>56</v>
      </c>
      <c r="B58" s="3" t="s">
        <v>723</v>
      </c>
      <c r="C58" s="3" t="s">
        <v>667</v>
      </c>
      <c r="D58" s="4">
        <v>3800</v>
      </c>
      <c r="E58" s="4">
        <v>44514623.348072045</v>
      </c>
      <c r="F58" s="4">
        <v>0</v>
      </c>
      <c r="G58" s="4">
        <v>0</v>
      </c>
      <c r="H58" s="4">
        <f t="shared" si="4"/>
        <v>44514623.348072045</v>
      </c>
      <c r="I58" s="4">
        <f t="shared" si="5"/>
        <v>11714.374565282116</v>
      </c>
      <c r="J58" s="4">
        <v>3702</v>
      </c>
      <c r="K58" s="5">
        <f t="shared" si="6"/>
        <v>3702</v>
      </c>
      <c r="L58" s="4">
        <v>8500</v>
      </c>
      <c r="M58" s="4">
        <f t="shared" si="2"/>
        <v>32615008.707397651</v>
      </c>
      <c r="N58" s="4">
        <f t="shared" si="7"/>
        <v>-11899614.640674394</v>
      </c>
      <c r="O58" s="4">
        <f t="shared" si="8"/>
        <v>0</v>
      </c>
      <c r="P58" s="4">
        <f t="shared" si="9"/>
        <v>-11899614.640674394</v>
      </c>
      <c r="T58" s="4">
        <f t="shared" si="10"/>
        <v>11714.374565282116</v>
      </c>
      <c r="U58" s="4">
        <f t="shared" si="11"/>
        <v>-11899614.640674394</v>
      </c>
      <c r="V58" s="4">
        <f t="shared" si="12"/>
        <v>0</v>
      </c>
      <c r="W58" s="4">
        <f t="shared" si="13"/>
        <v>-11899614.640674394</v>
      </c>
      <c r="X58" s="5">
        <f t="shared" si="14"/>
        <v>32615008.707397651</v>
      </c>
      <c r="Y58" s="5">
        <f t="shared" si="15"/>
        <v>0</v>
      </c>
      <c r="Z58" s="5">
        <f t="shared" si="15"/>
        <v>0</v>
      </c>
      <c r="AB58" s="5">
        <f t="shared" si="3"/>
        <v>98</v>
      </c>
      <c r="AC58" s="4">
        <f t="shared" si="16"/>
        <v>1148008.7073976474</v>
      </c>
      <c r="AD58" s="4">
        <f t="shared" si="17"/>
        <v>833000</v>
      </c>
      <c r="AE58" s="5">
        <f t="shared" si="18"/>
        <v>315008.70739764743</v>
      </c>
      <c r="AF58" s="3" t="str">
        <f t="shared" si="19"/>
        <v>Y</v>
      </c>
      <c r="AH58" s="4">
        <f t="shared" si="20"/>
        <v>43366614.640674397</v>
      </c>
      <c r="AI58" s="4">
        <f t="shared" si="21"/>
        <v>31467000</v>
      </c>
    </row>
    <row r="59" spans="1:35">
      <c r="A59" s="3">
        <v>57</v>
      </c>
      <c r="B59" s="3" t="s">
        <v>724</v>
      </c>
      <c r="C59" s="3" t="s">
        <v>667</v>
      </c>
      <c r="D59" s="4">
        <v>7000</v>
      </c>
      <c r="E59" s="4">
        <v>65834145.833524436</v>
      </c>
      <c r="F59" s="4">
        <v>0</v>
      </c>
      <c r="G59" s="4">
        <v>0</v>
      </c>
      <c r="H59" s="4">
        <f t="shared" si="4"/>
        <v>65834145.833524436</v>
      </c>
      <c r="I59" s="4">
        <f t="shared" si="5"/>
        <v>9404.8779762177764</v>
      </c>
      <c r="J59" s="4">
        <v>6959.7</v>
      </c>
      <c r="K59" s="5">
        <f t="shared" si="6"/>
        <v>6959.7</v>
      </c>
      <c r="L59" s="4">
        <v>8720</v>
      </c>
      <c r="M59" s="4">
        <f t="shared" si="2"/>
        <v>61067600.582441576</v>
      </c>
      <c r="N59" s="4">
        <f t="shared" si="7"/>
        <v>-4766545.251082859</v>
      </c>
      <c r="O59" s="4">
        <f t="shared" si="8"/>
        <v>0</v>
      </c>
      <c r="P59" s="4">
        <f t="shared" si="9"/>
        <v>-4766545.251082859</v>
      </c>
      <c r="T59" s="4">
        <f t="shared" si="10"/>
        <v>9404.8779762177764</v>
      </c>
      <c r="U59" s="4">
        <f t="shared" si="11"/>
        <v>-4766545.251082859</v>
      </c>
      <c r="V59" s="4">
        <f t="shared" si="12"/>
        <v>0</v>
      </c>
      <c r="W59" s="4">
        <f t="shared" si="13"/>
        <v>-4766545.251082859</v>
      </c>
      <c r="X59" s="5">
        <f t="shared" si="14"/>
        <v>61067600.582441576</v>
      </c>
      <c r="Y59" s="5">
        <f t="shared" si="15"/>
        <v>0</v>
      </c>
      <c r="Z59" s="5">
        <f t="shared" si="15"/>
        <v>0</v>
      </c>
      <c r="AB59" s="5">
        <f t="shared" si="3"/>
        <v>40.300000000000182</v>
      </c>
      <c r="AC59" s="4">
        <f t="shared" si="16"/>
        <v>379016.5824415781</v>
      </c>
      <c r="AD59" s="4">
        <f t="shared" si="17"/>
        <v>351416.00000000157</v>
      </c>
      <c r="AE59" s="5">
        <f t="shared" si="18"/>
        <v>27600.582441576524</v>
      </c>
      <c r="AF59" s="3" t="str">
        <f t="shared" si="19"/>
        <v>Y</v>
      </c>
      <c r="AH59" s="4">
        <f t="shared" si="20"/>
        <v>65455129.25108286</v>
      </c>
      <c r="AI59" s="4">
        <f t="shared" si="21"/>
        <v>60688584</v>
      </c>
    </row>
    <row r="60" spans="1:35">
      <c r="A60" s="3">
        <v>58</v>
      </c>
      <c r="B60" s="3" t="s">
        <v>725</v>
      </c>
      <c r="C60" s="3" t="s">
        <v>667</v>
      </c>
      <c r="D60" s="4">
        <v>900</v>
      </c>
      <c r="E60" s="4">
        <v>17289549.227635086</v>
      </c>
      <c r="F60" s="4">
        <v>0</v>
      </c>
      <c r="G60" s="4">
        <v>0</v>
      </c>
      <c r="H60" s="4">
        <f t="shared" si="4"/>
        <v>17289549.227635086</v>
      </c>
      <c r="I60" s="4">
        <f t="shared" si="5"/>
        <v>19210.610252927872</v>
      </c>
      <c r="J60" s="4">
        <v>822</v>
      </c>
      <c r="K60" s="5">
        <f t="shared" si="6"/>
        <v>822</v>
      </c>
      <c r="L60" s="4">
        <v>27400</v>
      </c>
      <c r="M60" s="4">
        <f t="shared" si="2"/>
        <v>24021227.599728376</v>
      </c>
      <c r="N60" s="4">
        <f t="shared" si="7"/>
        <v>6731678.3720932892</v>
      </c>
      <c r="O60" s="4">
        <f t="shared" si="8"/>
        <v>6731678.3720932892</v>
      </c>
      <c r="P60" s="4">
        <f t="shared" si="9"/>
        <v>0</v>
      </c>
      <c r="T60" s="4">
        <f t="shared" si="10"/>
        <v>19210.610252927872</v>
      </c>
      <c r="U60" s="4">
        <f t="shared" si="11"/>
        <v>6731678.3720932892</v>
      </c>
      <c r="V60" s="4">
        <f t="shared" si="12"/>
        <v>6731678.3720932892</v>
      </c>
      <c r="W60" s="4">
        <f t="shared" si="13"/>
        <v>0</v>
      </c>
      <c r="X60" s="5">
        <f t="shared" si="14"/>
        <v>24021227.599728376</v>
      </c>
      <c r="Y60" s="5">
        <f t="shared" si="15"/>
        <v>0</v>
      </c>
      <c r="Z60" s="5">
        <f t="shared" si="15"/>
        <v>0</v>
      </c>
      <c r="AB60" s="5">
        <f t="shared" si="3"/>
        <v>78</v>
      </c>
      <c r="AC60" s="4">
        <f t="shared" si="16"/>
        <v>1498427.599728374</v>
      </c>
      <c r="AD60" s="4">
        <f t="shared" si="17"/>
        <v>2137200</v>
      </c>
      <c r="AE60" s="5">
        <f t="shared" si="18"/>
        <v>-638772.40027162596</v>
      </c>
      <c r="AF60" s="3" t="str">
        <f t="shared" si="19"/>
        <v>N</v>
      </c>
      <c r="AH60" s="4">
        <f t="shared" si="20"/>
        <v>15791121.627906712</v>
      </c>
      <c r="AI60" s="4">
        <f t="shared" si="21"/>
        <v>22522800</v>
      </c>
    </row>
    <row r="61" spans="1:35">
      <c r="A61" s="3">
        <v>59</v>
      </c>
      <c r="B61" s="3" t="s">
        <v>726</v>
      </c>
      <c r="C61" s="3" t="s">
        <v>667</v>
      </c>
      <c r="D61" s="4">
        <v>1500</v>
      </c>
      <c r="E61" s="4">
        <v>104064618.31005573</v>
      </c>
      <c r="F61" s="4">
        <v>0</v>
      </c>
      <c r="G61" s="4">
        <v>0</v>
      </c>
      <c r="H61" s="4">
        <f t="shared" si="4"/>
        <v>104064618.31005573</v>
      </c>
      <c r="I61" s="4">
        <f t="shared" si="5"/>
        <v>69376.412206703826</v>
      </c>
      <c r="J61" s="4">
        <v>1379.2</v>
      </c>
      <c r="K61" s="5">
        <f t="shared" si="6"/>
        <v>1379.2</v>
      </c>
      <c r="L61" s="4">
        <v>38550</v>
      </c>
      <c r="M61" s="4">
        <f t="shared" si="2"/>
        <v>61548830.594569817</v>
      </c>
      <c r="N61" s="4">
        <f t="shared" si="7"/>
        <v>-42515787.715485916</v>
      </c>
      <c r="O61" s="4">
        <f t="shared" si="8"/>
        <v>0</v>
      </c>
      <c r="P61" s="4">
        <f t="shared" si="9"/>
        <v>-42515787.715485916</v>
      </c>
      <c r="T61" s="4">
        <f t="shared" si="10"/>
        <v>69376.412206703826</v>
      </c>
      <c r="U61" s="4">
        <f t="shared" si="11"/>
        <v>-42515787.715485916</v>
      </c>
      <c r="V61" s="4">
        <f t="shared" si="12"/>
        <v>0</v>
      </c>
      <c r="W61" s="4">
        <f t="shared" si="13"/>
        <v>-42515787.715485916</v>
      </c>
      <c r="X61" s="5">
        <f t="shared" si="14"/>
        <v>61548830.594569817</v>
      </c>
      <c r="Y61" s="5">
        <f t="shared" si="15"/>
        <v>0</v>
      </c>
      <c r="Z61" s="5">
        <f t="shared" si="15"/>
        <v>0</v>
      </c>
      <c r="AB61" s="5">
        <f t="shared" si="3"/>
        <v>120.79999999999995</v>
      </c>
      <c r="AC61" s="4">
        <f t="shared" si="16"/>
        <v>8380670.594569819</v>
      </c>
      <c r="AD61" s="4">
        <f t="shared" si="17"/>
        <v>4656839.9999999981</v>
      </c>
      <c r="AE61" s="5">
        <f t="shared" si="18"/>
        <v>3723830.5945698209</v>
      </c>
      <c r="AF61" s="3" t="str">
        <f t="shared" si="19"/>
        <v>Y</v>
      </c>
      <c r="AH61" s="4">
        <f t="shared" si="20"/>
        <v>95683947.715485916</v>
      </c>
      <c r="AI61" s="4">
        <f t="shared" si="21"/>
        <v>53168160</v>
      </c>
    </row>
    <row r="62" spans="1:35">
      <c r="A62" s="3">
        <v>60</v>
      </c>
      <c r="B62" s="3" t="s">
        <v>727</v>
      </c>
      <c r="C62" s="3" t="s">
        <v>667</v>
      </c>
      <c r="D62" s="4">
        <v>13600</v>
      </c>
      <c r="E62" s="4">
        <v>82296697.299779534</v>
      </c>
      <c r="F62" s="4">
        <v>0</v>
      </c>
      <c r="G62" s="4">
        <v>0</v>
      </c>
      <c r="H62" s="4">
        <f t="shared" si="4"/>
        <v>82296697.299779534</v>
      </c>
      <c r="I62" s="4">
        <f t="shared" si="5"/>
        <v>6051.2277426308483</v>
      </c>
      <c r="J62" s="4">
        <v>13582.4</v>
      </c>
      <c r="K62" s="5">
        <f t="shared" si="6"/>
        <v>13582.4</v>
      </c>
      <c r="L62" s="4">
        <v>5460</v>
      </c>
      <c r="M62" s="4">
        <f t="shared" si="2"/>
        <v>74266405.608270302</v>
      </c>
      <c r="N62" s="4">
        <f t="shared" si="7"/>
        <v>-8030291.6915092338</v>
      </c>
      <c r="O62" s="4">
        <f t="shared" si="8"/>
        <v>0</v>
      </c>
      <c r="P62" s="4">
        <f t="shared" si="9"/>
        <v>-8030291.6915092338</v>
      </c>
      <c r="T62" s="4">
        <f t="shared" si="10"/>
        <v>6051.2277426308483</v>
      </c>
      <c r="U62" s="4">
        <f t="shared" si="11"/>
        <v>-8030291.6915092338</v>
      </c>
      <c r="V62" s="4">
        <f t="shared" si="12"/>
        <v>0</v>
      </c>
      <c r="W62" s="4">
        <f t="shared" si="13"/>
        <v>-8030291.6915092338</v>
      </c>
      <c r="X62" s="5">
        <f t="shared" si="14"/>
        <v>74266405.608270302</v>
      </c>
      <c r="Y62" s="5">
        <f t="shared" si="15"/>
        <v>0</v>
      </c>
      <c r="Z62" s="5">
        <f t="shared" si="15"/>
        <v>0</v>
      </c>
      <c r="AB62" s="5">
        <f t="shared" si="3"/>
        <v>17.600000000000364</v>
      </c>
      <c r="AC62" s="4">
        <f t="shared" si="16"/>
        <v>106501.60827030514</v>
      </c>
      <c r="AD62" s="4">
        <f t="shared" si="17"/>
        <v>96096.000000001979</v>
      </c>
      <c r="AE62" s="5">
        <f t="shared" si="18"/>
        <v>10405.608270303157</v>
      </c>
      <c r="AF62" s="3" t="str">
        <f t="shared" si="19"/>
        <v>Y</v>
      </c>
      <c r="AH62" s="4">
        <f t="shared" si="20"/>
        <v>82190195.691509232</v>
      </c>
      <c r="AI62" s="4">
        <f t="shared" si="21"/>
        <v>74159904</v>
      </c>
    </row>
    <row r="63" spans="1:35">
      <c r="A63" s="3">
        <v>61</v>
      </c>
      <c r="B63" s="3" t="s">
        <v>728</v>
      </c>
      <c r="C63" s="3" t="s">
        <v>667</v>
      </c>
      <c r="D63" s="4">
        <v>13360</v>
      </c>
      <c r="E63" s="4">
        <v>125407357.69270274</v>
      </c>
      <c r="F63" s="4">
        <v>0</v>
      </c>
      <c r="G63" s="4">
        <v>0</v>
      </c>
      <c r="H63" s="4">
        <f t="shared" si="4"/>
        <v>125407357.69270274</v>
      </c>
      <c r="I63" s="4">
        <f t="shared" si="5"/>
        <v>9386.7782704118817</v>
      </c>
      <c r="J63" s="4">
        <v>13274</v>
      </c>
      <c r="K63" s="5">
        <f t="shared" si="6"/>
        <v>13274</v>
      </c>
      <c r="L63" s="4">
        <v>8600</v>
      </c>
      <c r="M63" s="4">
        <f t="shared" si="2"/>
        <v>114963662.93125543</v>
      </c>
      <c r="N63" s="4">
        <f t="shared" si="7"/>
        <v>-10443694.761447318</v>
      </c>
      <c r="O63" s="4">
        <f t="shared" si="8"/>
        <v>0</v>
      </c>
      <c r="P63" s="4">
        <f t="shared" si="9"/>
        <v>-10443694.761447318</v>
      </c>
      <c r="T63" s="4">
        <f t="shared" si="10"/>
        <v>9386.7782704118817</v>
      </c>
      <c r="U63" s="4">
        <f t="shared" si="11"/>
        <v>-10443694.761447318</v>
      </c>
      <c r="V63" s="4">
        <f t="shared" si="12"/>
        <v>0</v>
      </c>
      <c r="W63" s="4">
        <f t="shared" si="13"/>
        <v>-10443694.761447318</v>
      </c>
      <c r="X63" s="5">
        <f t="shared" si="14"/>
        <v>114963662.93125543</v>
      </c>
      <c r="Y63" s="5">
        <f t="shared" si="15"/>
        <v>0</v>
      </c>
      <c r="Z63" s="5">
        <f t="shared" si="15"/>
        <v>0</v>
      </c>
      <c r="AB63" s="5">
        <f t="shared" si="3"/>
        <v>86</v>
      </c>
      <c r="AC63" s="4">
        <f t="shared" si="16"/>
        <v>807262.93125542183</v>
      </c>
      <c r="AD63" s="4">
        <f t="shared" si="17"/>
        <v>739600</v>
      </c>
      <c r="AE63" s="5">
        <f t="shared" si="18"/>
        <v>67662.931255421834</v>
      </c>
      <c r="AF63" s="3" t="str">
        <f t="shared" si="19"/>
        <v>Y</v>
      </c>
      <c r="AH63" s="4">
        <f t="shared" si="20"/>
        <v>124600094.76144733</v>
      </c>
      <c r="AI63" s="4">
        <f t="shared" si="21"/>
        <v>114156400</v>
      </c>
    </row>
    <row r="64" spans="1:35">
      <c r="A64" s="3">
        <v>62</v>
      </c>
      <c r="B64" s="3" t="s">
        <v>729</v>
      </c>
      <c r="C64" s="3" t="s">
        <v>667</v>
      </c>
      <c r="D64" s="4">
        <v>2000</v>
      </c>
      <c r="E64" s="4">
        <v>30134718.340616617</v>
      </c>
      <c r="F64" s="4">
        <v>0</v>
      </c>
      <c r="G64" s="4">
        <v>0</v>
      </c>
      <c r="H64" s="4">
        <f t="shared" si="4"/>
        <v>30134718.340616617</v>
      </c>
      <c r="I64" s="4">
        <f t="shared" si="5"/>
        <v>15067.359170308309</v>
      </c>
      <c r="J64" s="4">
        <v>1971</v>
      </c>
      <c r="K64" s="5">
        <f t="shared" si="6"/>
        <v>1971</v>
      </c>
      <c r="L64" s="4">
        <v>12200</v>
      </c>
      <c r="M64" s="4">
        <f t="shared" si="2"/>
        <v>24483153.41593894</v>
      </c>
      <c r="N64" s="4">
        <f t="shared" si="7"/>
        <v>-5651564.9246776775</v>
      </c>
      <c r="O64" s="4">
        <f t="shared" si="8"/>
        <v>0</v>
      </c>
      <c r="P64" s="4">
        <f t="shared" si="9"/>
        <v>-5651564.9246776775</v>
      </c>
      <c r="T64" s="4">
        <f t="shared" si="10"/>
        <v>15067.359170308309</v>
      </c>
      <c r="U64" s="4">
        <f t="shared" si="11"/>
        <v>-5651564.9246776775</v>
      </c>
      <c r="V64" s="4">
        <f t="shared" si="12"/>
        <v>0</v>
      </c>
      <c r="W64" s="4">
        <f t="shared" si="13"/>
        <v>-5651564.9246776775</v>
      </c>
      <c r="X64" s="5">
        <f t="shared" si="14"/>
        <v>24483153.41593894</v>
      </c>
      <c r="Y64" s="5">
        <f t="shared" si="15"/>
        <v>0</v>
      </c>
      <c r="Z64" s="5">
        <f t="shared" si="15"/>
        <v>0</v>
      </c>
      <c r="AB64" s="5">
        <f t="shared" si="3"/>
        <v>29</v>
      </c>
      <c r="AC64" s="4">
        <f t="shared" si="16"/>
        <v>436953.41593894095</v>
      </c>
      <c r="AD64" s="4">
        <f t="shared" si="17"/>
        <v>353800</v>
      </c>
      <c r="AE64" s="5">
        <f t="shared" si="18"/>
        <v>83153.415938940947</v>
      </c>
      <c r="AF64" s="3" t="str">
        <f t="shared" si="19"/>
        <v>Y</v>
      </c>
      <c r="AH64" s="4">
        <f t="shared" si="20"/>
        <v>29697764.924677677</v>
      </c>
      <c r="AI64" s="4">
        <f t="shared" si="21"/>
        <v>24046200</v>
      </c>
    </row>
    <row r="65" spans="1:35">
      <c r="A65" s="3">
        <v>63</v>
      </c>
      <c r="B65" s="3" t="s">
        <v>730</v>
      </c>
      <c r="C65" s="3" t="s">
        <v>667</v>
      </c>
      <c r="D65" s="4">
        <v>700</v>
      </c>
      <c r="E65" s="4">
        <v>23645857.337054066</v>
      </c>
      <c r="F65" s="4">
        <v>0</v>
      </c>
      <c r="G65" s="4">
        <v>0</v>
      </c>
      <c r="H65" s="4">
        <f t="shared" si="4"/>
        <v>23645857.337054066</v>
      </c>
      <c r="I65" s="4">
        <f t="shared" si="5"/>
        <v>33779.796195791525</v>
      </c>
      <c r="J65" s="4">
        <v>763.4</v>
      </c>
      <c r="K65" s="5">
        <f t="shared" si="6"/>
        <v>700</v>
      </c>
      <c r="L65" s="4">
        <v>41000</v>
      </c>
      <c r="M65" s="4">
        <f t="shared" si="2"/>
        <v>28700000</v>
      </c>
      <c r="N65" s="4">
        <f t="shared" si="7"/>
        <v>5054142.6629459327</v>
      </c>
      <c r="O65" s="4">
        <f t="shared" si="8"/>
        <v>5054142.6629459327</v>
      </c>
      <c r="P65" s="4">
        <f t="shared" si="9"/>
        <v>0</v>
      </c>
      <c r="T65" s="4">
        <f t="shared" si="10"/>
        <v>33779.796195791525</v>
      </c>
      <c r="U65" s="4">
        <f t="shared" si="11"/>
        <v>5054142.6629459327</v>
      </c>
      <c r="V65" s="4">
        <f t="shared" si="12"/>
        <v>5054142.6629459327</v>
      </c>
      <c r="W65" s="4">
        <f t="shared" si="13"/>
        <v>0</v>
      </c>
      <c r="X65" s="5">
        <f t="shared" si="14"/>
        <v>28700000</v>
      </c>
      <c r="Y65" s="5">
        <f t="shared" si="15"/>
        <v>0</v>
      </c>
      <c r="Z65" s="5">
        <f t="shared" si="15"/>
        <v>0</v>
      </c>
      <c r="AB65" s="5">
        <f t="shared" si="3"/>
        <v>-63.399999999999977</v>
      </c>
      <c r="AC65" s="4">
        <f t="shared" si="16"/>
        <v>-2141639.0788131817</v>
      </c>
      <c r="AD65" s="4">
        <f t="shared" si="17"/>
        <v>-2599399.9999999991</v>
      </c>
      <c r="AE65" s="5">
        <f t="shared" si="18"/>
        <v>0</v>
      </c>
      <c r="AF65" s="3" t="str">
        <f t="shared" si="19"/>
        <v>N</v>
      </c>
      <c r="AH65" s="4">
        <f t="shared" si="20"/>
        <v>23645857.337054066</v>
      </c>
      <c r="AI65" s="4">
        <f t="shared" si="21"/>
        <v>28700000</v>
      </c>
    </row>
    <row r="66" spans="1:35">
      <c r="A66" s="3">
        <v>64</v>
      </c>
      <c r="B66" s="3" t="s">
        <v>731</v>
      </c>
      <c r="C66" s="3" t="s">
        <v>667</v>
      </c>
      <c r="D66" s="4">
        <v>3833</v>
      </c>
      <c r="E66" s="4">
        <v>70809199.445640624</v>
      </c>
      <c r="F66" s="4">
        <v>0</v>
      </c>
      <c r="G66" s="4">
        <v>0</v>
      </c>
      <c r="H66" s="4">
        <f t="shared" si="4"/>
        <v>70809199.445640624</v>
      </c>
      <c r="I66" s="4">
        <f t="shared" si="5"/>
        <v>18473.57147029497</v>
      </c>
      <c r="J66" s="4">
        <v>3742.9</v>
      </c>
      <c r="K66" s="5">
        <f t="shared" si="6"/>
        <v>3742.9</v>
      </c>
      <c r="L66" s="4">
        <v>68800</v>
      </c>
      <c r="M66" s="4">
        <f t="shared" si="2"/>
        <v>259175988.78947359</v>
      </c>
      <c r="N66" s="4">
        <f t="shared" si="7"/>
        <v>188366789.34383297</v>
      </c>
      <c r="O66" s="4">
        <f t="shared" si="8"/>
        <v>188366789.34383297</v>
      </c>
      <c r="P66" s="4">
        <f t="shared" si="9"/>
        <v>0</v>
      </c>
      <c r="T66" s="4">
        <f t="shared" si="10"/>
        <v>18473.57147029497</v>
      </c>
      <c r="U66" s="4">
        <f t="shared" si="11"/>
        <v>188366789.34383297</v>
      </c>
      <c r="V66" s="4">
        <f t="shared" si="12"/>
        <v>188366789.34383297</v>
      </c>
      <c r="W66" s="4">
        <f t="shared" si="13"/>
        <v>0</v>
      </c>
      <c r="X66" s="5">
        <f t="shared" si="14"/>
        <v>259175988.78947359</v>
      </c>
      <c r="Y66" s="5">
        <f t="shared" si="15"/>
        <v>0</v>
      </c>
      <c r="Z66" s="5">
        <f t="shared" si="15"/>
        <v>0</v>
      </c>
      <c r="AB66" s="5">
        <f t="shared" si="3"/>
        <v>90.099999999999909</v>
      </c>
      <c r="AC66" s="4">
        <f t="shared" si="16"/>
        <v>1664468.7894735751</v>
      </c>
      <c r="AD66" s="4">
        <f t="shared" si="17"/>
        <v>6198879.9999999935</v>
      </c>
      <c r="AE66" s="5">
        <f t="shared" si="18"/>
        <v>-4534411.2105264179</v>
      </c>
      <c r="AF66" s="3" t="str">
        <f t="shared" si="19"/>
        <v>N</v>
      </c>
      <c r="AH66" s="4">
        <f t="shared" si="20"/>
        <v>69144730.656167045</v>
      </c>
      <c r="AI66" s="4">
        <f t="shared" si="21"/>
        <v>257511520</v>
      </c>
    </row>
    <row r="67" spans="1:35">
      <c r="A67" s="3">
        <v>65</v>
      </c>
      <c r="B67" s="3" t="s">
        <v>732</v>
      </c>
      <c r="C67" s="3" t="s">
        <v>667</v>
      </c>
      <c r="D67" s="4">
        <v>168</v>
      </c>
      <c r="E67" s="4">
        <v>5367497.5712792594</v>
      </c>
      <c r="F67" s="4">
        <v>0</v>
      </c>
      <c r="G67" s="4">
        <v>0</v>
      </c>
      <c r="H67" s="4">
        <f t="shared" si="4"/>
        <v>5367497.5712792594</v>
      </c>
      <c r="I67" s="4">
        <f t="shared" si="5"/>
        <v>31949.390305233686</v>
      </c>
      <c r="J67" s="4">
        <v>100.4</v>
      </c>
      <c r="K67" s="5">
        <f t="shared" si="6"/>
        <v>100.4</v>
      </c>
      <c r="L67" s="4">
        <v>32100</v>
      </c>
      <c r="M67" s="4">
        <f t="shared" ref="M67:M130" si="22">(L67-I67)*K67+E67</f>
        <v>5382618.7846337976</v>
      </c>
      <c r="N67" s="4">
        <f t="shared" si="7"/>
        <v>15121.213354537889</v>
      </c>
      <c r="O67" s="4">
        <f t="shared" si="8"/>
        <v>15121.213354537889</v>
      </c>
      <c r="P67" s="4">
        <f t="shared" si="9"/>
        <v>0</v>
      </c>
      <c r="T67" s="4">
        <f t="shared" si="10"/>
        <v>31949.390305233686</v>
      </c>
      <c r="U67" s="4">
        <f t="shared" si="11"/>
        <v>15121.213354537889</v>
      </c>
      <c r="V67" s="4">
        <f t="shared" si="12"/>
        <v>15121.213354537889</v>
      </c>
      <c r="W67" s="4">
        <f t="shared" si="13"/>
        <v>0</v>
      </c>
      <c r="X67" s="5">
        <f t="shared" si="14"/>
        <v>5382618.7846337976</v>
      </c>
      <c r="Y67" s="5">
        <f t="shared" si="15"/>
        <v>0</v>
      </c>
      <c r="Z67" s="5">
        <f t="shared" si="15"/>
        <v>0</v>
      </c>
      <c r="AB67" s="5">
        <f t="shared" ref="AB67:AB130" si="23">D67-J67</f>
        <v>67.599999999999994</v>
      </c>
      <c r="AC67" s="4">
        <f t="shared" si="16"/>
        <v>2159778.7846337971</v>
      </c>
      <c r="AD67" s="4">
        <f t="shared" si="17"/>
        <v>2169960</v>
      </c>
      <c r="AE67" s="5">
        <f t="shared" si="18"/>
        <v>-10181.215366202872</v>
      </c>
      <c r="AF67" s="3" t="str">
        <f t="shared" si="19"/>
        <v>N</v>
      </c>
      <c r="AH67" s="4">
        <f t="shared" si="20"/>
        <v>3207718.7866454623</v>
      </c>
      <c r="AI67" s="4">
        <f t="shared" si="21"/>
        <v>3222840</v>
      </c>
    </row>
    <row r="68" spans="1:35">
      <c r="A68" s="3">
        <v>66</v>
      </c>
      <c r="B68" s="3" t="s">
        <v>733</v>
      </c>
      <c r="C68" s="3" t="s">
        <v>667</v>
      </c>
      <c r="D68" s="4">
        <v>22307</v>
      </c>
      <c r="E68" s="4">
        <v>563690269.16204429</v>
      </c>
      <c r="F68" s="4">
        <v>0</v>
      </c>
      <c r="G68" s="4">
        <v>0</v>
      </c>
      <c r="H68" s="4">
        <f t="shared" ref="H68:H131" si="24">E68+F68</f>
        <v>563690269.16204429</v>
      </c>
      <c r="I68" s="4">
        <f t="shared" ref="I68:I131" si="25">E68/D68</f>
        <v>25269.658365627125</v>
      </c>
      <c r="J68" s="4">
        <v>22604.3</v>
      </c>
      <c r="K68" s="5">
        <f t="shared" ref="K68:K131" si="26">MIN(D68,J68)</f>
        <v>22307</v>
      </c>
      <c r="L68" s="4">
        <v>27100</v>
      </c>
      <c r="M68" s="4">
        <f t="shared" si="22"/>
        <v>604519700</v>
      </c>
      <c r="N68" s="4">
        <f t="shared" ref="N68:N131" si="27">(L68-I68)*K68</f>
        <v>40829430.837955721</v>
      </c>
      <c r="O68" s="4">
        <f t="shared" ref="O68:O131" si="28">IF(N68&gt;0,N68,0)</f>
        <v>40829430.837955721</v>
      </c>
      <c r="P68" s="4">
        <f t="shared" ref="P68:P131" si="29">IF(N68&lt;0,N68,0)</f>
        <v>0</v>
      </c>
      <c r="T68" s="4">
        <f t="shared" ref="T68:T131" si="30">H68/D68</f>
        <v>25269.658365627125</v>
      </c>
      <c r="U68" s="4">
        <f t="shared" ref="U68:U131" si="31">(L68-T68)*K68</f>
        <v>40829430.837955721</v>
      </c>
      <c r="V68" s="4">
        <f t="shared" ref="V68:V131" si="32">IF(U68&gt;0,U68,0)</f>
        <v>40829430.837955721</v>
      </c>
      <c r="W68" s="4">
        <f t="shared" ref="W68:W131" si="33">IF(U68&lt;0,U68,0)</f>
        <v>0</v>
      </c>
      <c r="X68" s="5">
        <f t="shared" ref="X68:X131" si="34">H68+U68</f>
        <v>604519700</v>
      </c>
      <c r="Y68" s="5">
        <f t="shared" ref="Y68:Z131" si="35">O68-V68</f>
        <v>0</v>
      </c>
      <c r="Z68" s="5">
        <f t="shared" si="35"/>
        <v>0</v>
      </c>
      <c r="AB68" s="5">
        <f t="shared" si="23"/>
        <v>-297.29999999999927</v>
      </c>
      <c r="AC68" s="4">
        <f t="shared" ref="AC68:AC131" si="36">T68*AB68</f>
        <v>-7512669.4321009256</v>
      </c>
      <c r="AD68" s="4">
        <f t="shared" ref="AD68:AD131" si="37">L68*AB68</f>
        <v>-8056829.9999999804</v>
      </c>
      <c r="AE68" s="5">
        <f t="shared" ref="AE68:AE131" si="38">IF(AB68&gt;0,AC68-AD68,0)</f>
        <v>0</v>
      </c>
      <c r="AF68" s="3" t="str">
        <f t="shared" ref="AF68:AF131" si="39">IF(AE68&gt;0,"Y","N")</f>
        <v>N</v>
      </c>
      <c r="AH68" s="4">
        <f t="shared" ref="AH68:AH131" si="40">K68*T68</f>
        <v>563690269.16204429</v>
      </c>
      <c r="AI68" s="4">
        <f t="shared" ref="AI68:AI131" si="41">K68*L68</f>
        <v>604519700</v>
      </c>
    </row>
    <row r="69" spans="1:35">
      <c r="A69" s="3">
        <v>67</v>
      </c>
      <c r="B69" s="3" t="s">
        <v>734</v>
      </c>
      <c r="C69" s="3" t="s">
        <v>667</v>
      </c>
      <c r="D69" s="4">
        <v>2300</v>
      </c>
      <c r="E69" s="4">
        <v>30437177.188505854</v>
      </c>
      <c r="F69" s="4">
        <v>0</v>
      </c>
      <c r="G69" s="4">
        <v>0</v>
      </c>
      <c r="H69" s="4">
        <f t="shared" si="24"/>
        <v>30437177.188505854</v>
      </c>
      <c r="I69" s="4">
        <f t="shared" si="25"/>
        <v>13233.555299350372</v>
      </c>
      <c r="J69" s="4">
        <v>2276.3000000000002</v>
      </c>
      <c r="K69" s="5">
        <f t="shared" si="26"/>
        <v>2276.3000000000002</v>
      </c>
      <c r="L69" s="4">
        <v>15400</v>
      </c>
      <c r="M69" s="4">
        <f t="shared" si="22"/>
        <v>35368655.260594606</v>
      </c>
      <c r="N69" s="4">
        <f t="shared" si="27"/>
        <v>4931478.0720887491</v>
      </c>
      <c r="O69" s="4">
        <f t="shared" si="28"/>
        <v>4931478.0720887491</v>
      </c>
      <c r="P69" s="4">
        <f t="shared" si="29"/>
        <v>0</v>
      </c>
      <c r="T69" s="4">
        <f t="shared" si="30"/>
        <v>13233.555299350372</v>
      </c>
      <c r="U69" s="4">
        <f t="shared" si="31"/>
        <v>4931478.0720887491</v>
      </c>
      <c r="V69" s="4">
        <f t="shared" si="32"/>
        <v>4931478.0720887491</v>
      </c>
      <c r="W69" s="4">
        <f t="shared" si="33"/>
        <v>0</v>
      </c>
      <c r="X69" s="5">
        <f t="shared" si="34"/>
        <v>35368655.260594606</v>
      </c>
      <c r="Y69" s="5">
        <f t="shared" si="35"/>
        <v>0</v>
      </c>
      <c r="Z69" s="5">
        <f t="shared" si="35"/>
        <v>0</v>
      </c>
      <c r="AB69" s="5">
        <f t="shared" si="23"/>
        <v>23.699999999999818</v>
      </c>
      <c r="AC69" s="4">
        <f t="shared" si="36"/>
        <v>313635.26059460139</v>
      </c>
      <c r="AD69" s="4">
        <f t="shared" si="37"/>
        <v>364979.99999999721</v>
      </c>
      <c r="AE69" s="5">
        <f t="shared" si="38"/>
        <v>-51344.739405395812</v>
      </c>
      <c r="AF69" s="3" t="str">
        <f t="shared" si="39"/>
        <v>N</v>
      </c>
      <c r="AH69" s="4">
        <f t="shared" si="40"/>
        <v>30123541.927911252</v>
      </c>
      <c r="AI69" s="4">
        <f t="shared" si="41"/>
        <v>35055020</v>
      </c>
    </row>
    <row r="70" spans="1:35">
      <c r="A70" s="3">
        <v>68</v>
      </c>
      <c r="B70" s="3" t="s">
        <v>735</v>
      </c>
      <c r="C70" s="3" t="s">
        <v>667</v>
      </c>
      <c r="D70" s="4">
        <v>100</v>
      </c>
      <c r="E70" s="4">
        <v>5520000</v>
      </c>
      <c r="F70" s="4">
        <v>0</v>
      </c>
      <c r="G70" s="4">
        <v>0</v>
      </c>
      <c r="H70" s="4">
        <f t="shared" si="24"/>
        <v>5520000</v>
      </c>
      <c r="I70" s="4">
        <f t="shared" si="25"/>
        <v>55200</v>
      </c>
      <c r="J70" s="4">
        <v>0</v>
      </c>
      <c r="K70" s="5">
        <f t="shared" si="26"/>
        <v>0</v>
      </c>
      <c r="L70" s="4">
        <v>91800</v>
      </c>
      <c r="M70" s="4">
        <f t="shared" si="22"/>
        <v>5520000</v>
      </c>
      <c r="N70" s="4">
        <f t="shared" si="27"/>
        <v>0</v>
      </c>
      <c r="O70" s="4">
        <f t="shared" si="28"/>
        <v>0</v>
      </c>
      <c r="P70" s="4">
        <f t="shared" si="29"/>
        <v>0</v>
      </c>
      <c r="T70" s="4">
        <f t="shared" si="30"/>
        <v>55200</v>
      </c>
      <c r="U70" s="4">
        <f t="shared" si="31"/>
        <v>0</v>
      </c>
      <c r="V70" s="4">
        <f t="shared" si="32"/>
        <v>0</v>
      </c>
      <c r="W70" s="4">
        <f t="shared" si="33"/>
        <v>0</v>
      </c>
      <c r="X70" s="5">
        <f t="shared" si="34"/>
        <v>5520000</v>
      </c>
      <c r="Y70" s="5">
        <f t="shared" si="35"/>
        <v>0</v>
      </c>
      <c r="Z70" s="5">
        <f t="shared" si="35"/>
        <v>0</v>
      </c>
      <c r="AB70" s="5">
        <f t="shared" si="23"/>
        <v>100</v>
      </c>
      <c r="AC70" s="4">
        <f t="shared" si="36"/>
        <v>5520000</v>
      </c>
      <c r="AD70" s="4">
        <f t="shared" si="37"/>
        <v>9180000</v>
      </c>
      <c r="AE70" s="5">
        <f t="shared" si="38"/>
        <v>-3660000</v>
      </c>
      <c r="AF70" s="3" t="str">
        <f t="shared" si="39"/>
        <v>N</v>
      </c>
      <c r="AH70" s="4">
        <f t="shared" si="40"/>
        <v>0</v>
      </c>
      <c r="AI70" s="4">
        <f t="shared" si="41"/>
        <v>0</v>
      </c>
    </row>
    <row r="71" spans="1:35">
      <c r="A71" s="3">
        <v>69</v>
      </c>
      <c r="B71" s="3" t="s">
        <v>736</v>
      </c>
      <c r="C71" s="3" t="s">
        <v>667</v>
      </c>
      <c r="D71" s="4">
        <v>2277</v>
      </c>
      <c r="E71" s="4">
        <v>37004806.094135292</v>
      </c>
      <c r="F71" s="4">
        <v>0</v>
      </c>
      <c r="G71" s="4">
        <v>0</v>
      </c>
      <c r="H71" s="4">
        <f t="shared" si="24"/>
        <v>37004806.094135292</v>
      </c>
      <c r="I71" s="4">
        <f t="shared" si="25"/>
        <v>16251.561745338293</v>
      </c>
      <c r="J71" s="4">
        <v>2352.4</v>
      </c>
      <c r="K71" s="5">
        <f t="shared" si="26"/>
        <v>2277</v>
      </c>
      <c r="L71" s="4">
        <v>28300</v>
      </c>
      <c r="M71" s="4">
        <f t="shared" si="22"/>
        <v>64439100</v>
      </c>
      <c r="N71" s="4">
        <f t="shared" si="27"/>
        <v>27434293.905864708</v>
      </c>
      <c r="O71" s="4">
        <f t="shared" si="28"/>
        <v>27434293.905864708</v>
      </c>
      <c r="P71" s="4">
        <f t="shared" si="29"/>
        <v>0</v>
      </c>
      <c r="T71" s="4">
        <f t="shared" si="30"/>
        <v>16251.561745338293</v>
      </c>
      <c r="U71" s="4">
        <f t="shared" si="31"/>
        <v>27434293.905864708</v>
      </c>
      <c r="V71" s="4">
        <f t="shared" si="32"/>
        <v>27434293.905864708</v>
      </c>
      <c r="W71" s="4">
        <f t="shared" si="33"/>
        <v>0</v>
      </c>
      <c r="X71" s="5">
        <f t="shared" si="34"/>
        <v>64439100</v>
      </c>
      <c r="Y71" s="5">
        <f t="shared" si="35"/>
        <v>0</v>
      </c>
      <c r="Z71" s="5">
        <f t="shared" si="35"/>
        <v>0</v>
      </c>
      <c r="AB71" s="5">
        <f t="shared" si="23"/>
        <v>-75.400000000000091</v>
      </c>
      <c r="AC71" s="4">
        <f t="shared" si="36"/>
        <v>-1225367.7555985088</v>
      </c>
      <c r="AD71" s="4">
        <f t="shared" si="37"/>
        <v>-2133820.0000000028</v>
      </c>
      <c r="AE71" s="5">
        <f t="shared" si="38"/>
        <v>0</v>
      </c>
      <c r="AF71" s="3" t="str">
        <f t="shared" si="39"/>
        <v>N</v>
      </c>
      <c r="AH71" s="4">
        <f t="shared" si="40"/>
        <v>37004806.094135292</v>
      </c>
      <c r="AI71" s="4">
        <f t="shared" si="41"/>
        <v>64439100</v>
      </c>
    </row>
    <row r="72" spans="1:35">
      <c r="A72" s="3">
        <v>70</v>
      </c>
      <c r="B72" s="3" t="s">
        <v>737</v>
      </c>
      <c r="C72" s="3" t="s">
        <v>667</v>
      </c>
      <c r="D72" s="4">
        <v>1000</v>
      </c>
      <c r="E72" s="4">
        <v>27288844.315188035</v>
      </c>
      <c r="F72" s="4">
        <v>0</v>
      </c>
      <c r="G72" s="4">
        <v>0</v>
      </c>
      <c r="H72" s="4">
        <f t="shared" si="24"/>
        <v>27288844.315188035</v>
      </c>
      <c r="I72" s="4">
        <f t="shared" si="25"/>
        <v>27288.844315188035</v>
      </c>
      <c r="J72" s="4">
        <v>972.1</v>
      </c>
      <c r="K72" s="5">
        <f t="shared" si="26"/>
        <v>972.1</v>
      </c>
      <c r="L72" s="4">
        <v>25200</v>
      </c>
      <c r="M72" s="4">
        <f t="shared" si="22"/>
        <v>25258278.756393746</v>
      </c>
      <c r="N72" s="4">
        <f t="shared" si="27"/>
        <v>-2030565.5587942887</v>
      </c>
      <c r="O72" s="4">
        <f t="shared" si="28"/>
        <v>0</v>
      </c>
      <c r="P72" s="4">
        <f t="shared" si="29"/>
        <v>-2030565.5587942887</v>
      </c>
      <c r="T72" s="4">
        <f t="shared" si="30"/>
        <v>27288.844315188035</v>
      </c>
      <c r="U72" s="4">
        <f t="shared" si="31"/>
        <v>-2030565.5587942887</v>
      </c>
      <c r="V72" s="4">
        <f t="shared" si="32"/>
        <v>0</v>
      </c>
      <c r="W72" s="4">
        <f t="shared" si="33"/>
        <v>-2030565.5587942887</v>
      </c>
      <c r="X72" s="5">
        <f t="shared" si="34"/>
        <v>25258278.756393746</v>
      </c>
      <c r="Y72" s="5">
        <f t="shared" si="35"/>
        <v>0</v>
      </c>
      <c r="Z72" s="5">
        <f t="shared" si="35"/>
        <v>0</v>
      </c>
      <c r="AB72" s="5">
        <f t="shared" si="23"/>
        <v>27.899999999999977</v>
      </c>
      <c r="AC72" s="4">
        <f t="shared" si="36"/>
        <v>761358.75639374554</v>
      </c>
      <c r="AD72" s="4">
        <f t="shared" si="37"/>
        <v>703079.99999999942</v>
      </c>
      <c r="AE72" s="5">
        <f t="shared" si="38"/>
        <v>58278.756393746124</v>
      </c>
      <c r="AF72" s="3" t="str">
        <f t="shared" si="39"/>
        <v>Y</v>
      </c>
      <c r="AH72" s="4">
        <f t="shared" si="40"/>
        <v>26527485.55879429</v>
      </c>
      <c r="AI72" s="4">
        <f t="shared" si="41"/>
        <v>24496920</v>
      </c>
    </row>
    <row r="73" spans="1:35">
      <c r="A73" s="3">
        <v>71</v>
      </c>
      <c r="B73" s="3" t="s">
        <v>738</v>
      </c>
      <c r="C73" s="3" t="s">
        <v>667</v>
      </c>
      <c r="D73" s="4">
        <v>40300</v>
      </c>
      <c r="E73" s="4">
        <v>186740948.72455868</v>
      </c>
      <c r="F73" s="4">
        <v>0</v>
      </c>
      <c r="G73" s="4">
        <v>0</v>
      </c>
      <c r="H73" s="4">
        <f t="shared" si="24"/>
        <v>186740948.72455868</v>
      </c>
      <c r="I73" s="4">
        <f t="shared" si="25"/>
        <v>4633.7704398153519</v>
      </c>
      <c r="J73" s="4">
        <v>40228.1</v>
      </c>
      <c r="K73" s="5">
        <f t="shared" si="26"/>
        <v>40228.1</v>
      </c>
      <c r="L73" s="4">
        <v>3190</v>
      </c>
      <c r="M73" s="4">
        <f t="shared" si="22"/>
        <v>128660807.09462273</v>
      </c>
      <c r="N73" s="4">
        <f t="shared" si="27"/>
        <v>-58080141.629935957</v>
      </c>
      <c r="O73" s="4">
        <f t="shared" si="28"/>
        <v>0</v>
      </c>
      <c r="P73" s="4">
        <f t="shared" si="29"/>
        <v>-58080141.629935957</v>
      </c>
      <c r="T73" s="4">
        <f t="shared" si="30"/>
        <v>4633.7704398153519</v>
      </c>
      <c r="U73" s="4">
        <f t="shared" si="31"/>
        <v>-58080141.629935957</v>
      </c>
      <c r="V73" s="4">
        <f t="shared" si="32"/>
        <v>0</v>
      </c>
      <c r="W73" s="4">
        <f t="shared" si="33"/>
        <v>-58080141.629935957</v>
      </c>
      <c r="X73" s="5">
        <f t="shared" si="34"/>
        <v>128660807.09462273</v>
      </c>
      <c r="Y73" s="5">
        <f t="shared" si="35"/>
        <v>0</v>
      </c>
      <c r="Z73" s="5">
        <f t="shared" si="35"/>
        <v>0</v>
      </c>
      <c r="AB73" s="5">
        <f t="shared" si="23"/>
        <v>71.900000000001455</v>
      </c>
      <c r="AC73" s="4">
        <f t="shared" si="36"/>
        <v>333168.09462273057</v>
      </c>
      <c r="AD73" s="4">
        <f t="shared" si="37"/>
        <v>229361.00000000466</v>
      </c>
      <c r="AE73" s="5">
        <f t="shared" si="38"/>
        <v>103807.09462272591</v>
      </c>
      <c r="AF73" s="3" t="str">
        <f t="shared" si="39"/>
        <v>Y</v>
      </c>
      <c r="AH73" s="4">
        <f t="shared" si="40"/>
        <v>186407780.62993595</v>
      </c>
      <c r="AI73" s="4">
        <f t="shared" si="41"/>
        <v>128327639</v>
      </c>
    </row>
    <row r="74" spans="1:35">
      <c r="A74" s="3">
        <v>72</v>
      </c>
      <c r="B74" s="3" t="s">
        <v>739</v>
      </c>
      <c r="C74" s="3" t="s">
        <v>667</v>
      </c>
      <c r="D74" s="4">
        <v>39000</v>
      </c>
      <c r="E74" s="4">
        <v>180548500.19017106</v>
      </c>
      <c r="F74" s="4">
        <v>0</v>
      </c>
      <c r="G74" s="4">
        <v>0</v>
      </c>
      <c r="H74" s="4">
        <f t="shared" si="24"/>
        <v>180548500.19017106</v>
      </c>
      <c r="I74" s="4">
        <f t="shared" si="25"/>
        <v>4629.4487228248991</v>
      </c>
      <c r="J74" s="4">
        <v>38999.4</v>
      </c>
      <c r="K74" s="5">
        <f t="shared" si="26"/>
        <v>38999.4</v>
      </c>
      <c r="L74" s="4">
        <v>4400</v>
      </c>
      <c r="M74" s="4">
        <f t="shared" si="22"/>
        <v>171600137.66923368</v>
      </c>
      <c r="N74" s="4">
        <f t="shared" si="27"/>
        <v>-8948362.5209373683</v>
      </c>
      <c r="O74" s="4">
        <f t="shared" si="28"/>
        <v>0</v>
      </c>
      <c r="P74" s="4">
        <f t="shared" si="29"/>
        <v>-8948362.5209373683</v>
      </c>
      <c r="T74" s="4">
        <f t="shared" si="30"/>
        <v>4629.4487228248991</v>
      </c>
      <c r="U74" s="4">
        <f t="shared" si="31"/>
        <v>-8948362.5209373683</v>
      </c>
      <c r="V74" s="4">
        <f t="shared" si="32"/>
        <v>0</v>
      </c>
      <c r="W74" s="4">
        <f t="shared" si="33"/>
        <v>-8948362.5209373683</v>
      </c>
      <c r="X74" s="5">
        <f t="shared" si="34"/>
        <v>171600137.66923368</v>
      </c>
      <c r="Y74" s="5">
        <f t="shared" si="35"/>
        <v>0</v>
      </c>
      <c r="Z74" s="5">
        <f t="shared" si="35"/>
        <v>0</v>
      </c>
      <c r="AB74" s="5">
        <f t="shared" si="23"/>
        <v>0.59999999999854481</v>
      </c>
      <c r="AC74" s="4">
        <f t="shared" si="36"/>
        <v>2777.6692336882029</v>
      </c>
      <c r="AD74" s="4">
        <f t="shared" si="37"/>
        <v>2639.9999999935972</v>
      </c>
      <c r="AE74" s="5">
        <f t="shared" si="38"/>
        <v>137.66923369460574</v>
      </c>
      <c r="AF74" s="3" t="str">
        <f t="shared" si="39"/>
        <v>Y</v>
      </c>
      <c r="AH74" s="4">
        <f t="shared" si="40"/>
        <v>180545722.52093738</v>
      </c>
      <c r="AI74" s="4">
        <f t="shared" si="41"/>
        <v>171597360</v>
      </c>
    </row>
    <row r="75" spans="1:35">
      <c r="A75" s="3">
        <v>73</v>
      </c>
      <c r="B75" s="3" t="s">
        <v>740</v>
      </c>
      <c r="C75" s="3" t="s">
        <v>667</v>
      </c>
      <c r="D75" s="4">
        <v>14065</v>
      </c>
      <c r="E75" s="4">
        <v>202770157.41818556</v>
      </c>
      <c r="F75" s="4">
        <v>0</v>
      </c>
      <c r="G75" s="4">
        <v>0</v>
      </c>
      <c r="H75" s="4">
        <f t="shared" si="24"/>
        <v>202770157.41818556</v>
      </c>
      <c r="I75" s="4">
        <f t="shared" si="25"/>
        <v>14416.648234495951</v>
      </c>
      <c r="J75" s="4">
        <v>14019</v>
      </c>
      <c r="K75" s="5">
        <f t="shared" si="26"/>
        <v>14019</v>
      </c>
      <c r="L75" s="4">
        <v>9270</v>
      </c>
      <c r="M75" s="4">
        <f t="shared" si="22"/>
        <v>130619295.81878681</v>
      </c>
      <c r="N75" s="4">
        <f t="shared" si="27"/>
        <v>-72150861.599398747</v>
      </c>
      <c r="O75" s="4">
        <f t="shared" si="28"/>
        <v>0</v>
      </c>
      <c r="P75" s="4">
        <f t="shared" si="29"/>
        <v>-72150861.599398747</v>
      </c>
      <c r="T75" s="4">
        <f t="shared" si="30"/>
        <v>14416.648234495951</v>
      </c>
      <c r="U75" s="4">
        <f t="shared" si="31"/>
        <v>-72150861.599398747</v>
      </c>
      <c r="V75" s="4">
        <f t="shared" si="32"/>
        <v>0</v>
      </c>
      <c r="W75" s="4">
        <f t="shared" si="33"/>
        <v>-72150861.599398747</v>
      </c>
      <c r="X75" s="5">
        <f t="shared" si="34"/>
        <v>130619295.81878681</v>
      </c>
      <c r="Y75" s="5">
        <f t="shared" si="35"/>
        <v>0</v>
      </c>
      <c r="Z75" s="5">
        <f t="shared" si="35"/>
        <v>0</v>
      </c>
      <c r="AB75" s="5">
        <f t="shared" si="23"/>
        <v>46</v>
      </c>
      <c r="AC75" s="4">
        <f t="shared" si="36"/>
        <v>663165.81878681376</v>
      </c>
      <c r="AD75" s="4">
        <f t="shared" si="37"/>
        <v>426420</v>
      </c>
      <c r="AE75" s="5">
        <f t="shared" si="38"/>
        <v>236745.81878681376</v>
      </c>
      <c r="AF75" s="3" t="str">
        <f t="shared" si="39"/>
        <v>Y</v>
      </c>
      <c r="AH75" s="4">
        <f t="shared" si="40"/>
        <v>202106991.59939873</v>
      </c>
      <c r="AI75" s="4">
        <f t="shared" si="41"/>
        <v>129956130</v>
      </c>
    </row>
    <row r="76" spans="1:35">
      <c r="A76" s="3">
        <v>74</v>
      </c>
      <c r="B76" s="3" t="s">
        <v>741</v>
      </c>
      <c r="C76" s="3" t="s">
        <v>667</v>
      </c>
      <c r="D76" s="4">
        <v>6485</v>
      </c>
      <c r="E76" s="4">
        <v>97394916.775623471</v>
      </c>
      <c r="F76" s="4">
        <v>0</v>
      </c>
      <c r="G76" s="4">
        <v>0</v>
      </c>
      <c r="H76" s="4">
        <f t="shared" si="24"/>
        <v>97394916.775623471</v>
      </c>
      <c r="I76" s="4">
        <f t="shared" si="25"/>
        <v>15018.491407189433</v>
      </c>
      <c r="J76" s="4">
        <v>6412.9</v>
      </c>
      <c r="K76" s="5">
        <f t="shared" si="26"/>
        <v>6412.9</v>
      </c>
      <c r="L76" s="4">
        <v>27400</v>
      </c>
      <c r="M76" s="4">
        <f t="shared" si="22"/>
        <v>176796293.23045835</v>
      </c>
      <c r="N76" s="4">
        <f t="shared" si="27"/>
        <v>79401376.454834878</v>
      </c>
      <c r="O76" s="4">
        <f t="shared" si="28"/>
        <v>79401376.454834878</v>
      </c>
      <c r="P76" s="4">
        <f t="shared" si="29"/>
        <v>0</v>
      </c>
      <c r="T76" s="4">
        <f t="shared" si="30"/>
        <v>15018.491407189433</v>
      </c>
      <c r="U76" s="4">
        <f t="shared" si="31"/>
        <v>79401376.454834878</v>
      </c>
      <c r="V76" s="4">
        <f t="shared" si="32"/>
        <v>79401376.454834878</v>
      </c>
      <c r="W76" s="4">
        <f t="shared" si="33"/>
        <v>0</v>
      </c>
      <c r="X76" s="5">
        <f t="shared" si="34"/>
        <v>176796293.23045835</v>
      </c>
      <c r="Y76" s="5">
        <f t="shared" si="35"/>
        <v>0</v>
      </c>
      <c r="Z76" s="5">
        <f t="shared" si="35"/>
        <v>0</v>
      </c>
      <c r="AB76" s="5">
        <f t="shared" si="23"/>
        <v>72.100000000000364</v>
      </c>
      <c r="AC76" s="4">
        <f t="shared" si="36"/>
        <v>1082833.2304583637</v>
      </c>
      <c r="AD76" s="4">
        <f t="shared" si="37"/>
        <v>1975540.00000001</v>
      </c>
      <c r="AE76" s="5">
        <f t="shared" si="38"/>
        <v>-892706.76954164635</v>
      </c>
      <c r="AF76" s="3" t="str">
        <f t="shared" si="39"/>
        <v>N</v>
      </c>
      <c r="AH76" s="4">
        <f t="shared" si="40"/>
        <v>96312083.545165107</v>
      </c>
      <c r="AI76" s="4">
        <f t="shared" si="41"/>
        <v>175713460</v>
      </c>
    </row>
    <row r="77" spans="1:35">
      <c r="A77" s="3">
        <v>75</v>
      </c>
      <c r="B77" s="3" t="s">
        <v>742</v>
      </c>
      <c r="C77" s="3" t="s">
        <v>667</v>
      </c>
      <c r="D77" s="4">
        <v>960</v>
      </c>
      <c r="E77" s="4">
        <v>39667038.968091875</v>
      </c>
      <c r="F77" s="4">
        <v>0</v>
      </c>
      <c r="G77" s="4">
        <v>0</v>
      </c>
      <c r="H77" s="4">
        <f t="shared" si="24"/>
        <v>39667038.968091875</v>
      </c>
      <c r="I77" s="4">
        <f t="shared" si="25"/>
        <v>41319.832258429036</v>
      </c>
      <c r="J77" s="4">
        <v>853.1</v>
      </c>
      <c r="K77" s="5">
        <f t="shared" si="26"/>
        <v>853.1</v>
      </c>
      <c r="L77" s="4">
        <v>54200</v>
      </c>
      <c r="M77" s="4">
        <f t="shared" si="22"/>
        <v>50655110.068426065</v>
      </c>
      <c r="N77" s="4">
        <f t="shared" si="27"/>
        <v>10988071.10033419</v>
      </c>
      <c r="O77" s="4">
        <f t="shared" si="28"/>
        <v>10988071.10033419</v>
      </c>
      <c r="P77" s="4">
        <f t="shared" si="29"/>
        <v>0</v>
      </c>
      <c r="T77" s="4">
        <f t="shared" si="30"/>
        <v>41319.832258429036</v>
      </c>
      <c r="U77" s="4">
        <f t="shared" si="31"/>
        <v>10988071.10033419</v>
      </c>
      <c r="V77" s="4">
        <f t="shared" si="32"/>
        <v>10988071.10033419</v>
      </c>
      <c r="W77" s="4">
        <f t="shared" si="33"/>
        <v>0</v>
      </c>
      <c r="X77" s="5">
        <f t="shared" si="34"/>
        <v>50655110.068426065</v>
      </c>
      <c r="Y77" s="5">
        <f t="shared" si="35"/>
        <v>0</v>
      </c>
      <c r="Z77" s="5">
        <f t="shared" si="35"/>
        <v>0</v>
      </c>
      <c r="AB77" s="5">
        <f t="shared" si="23"/>
        <v>106.89999999999998</v>
      </c>
      <c r="AC77" s="4">
        <f t="shared" si="36"/>
        <v>4417090.0684260633</v>
      </c>
      <c r="AD77" s="4">
        <f t="shared" si="37"/>
        <v>5793979.9999999991</v>
      </c>
      <c r="AE77" s="5">
        <f t="shared" si="38"/>
        <v>-1376889.9315739358</v>
      </c>
      <c r="AF77" s="3" t="str">
        <f t="shared" si="39"/>
        <v>N</v>
      </c>
      <c r="AH77" s="4">
        <f t="shared" si="40"/>
        <v>35249948.89966581</v>
      </c>
      <c r="AI77" s="4">
        <f t="shared" si="41"/>
        <v>46238020</v>
      </c>
    </row>
    <row r="78" spans="1:35">
      <c r="A78" s="3">
        <v>76</v>
      </c>
      <c r="B78" s="3" t="s">
        <v>743</v>
      </c>
      <c r="C78" s="3" t="s">
        <v>667</v>
      </c>
      <c r="D78" s="4">
        <v>3760</v>
      </c>
      <c r="E78" s="4">
        <v>43543697.46474009</v>
      </c>
      <c r="F78" s="4">
        <v>0</v>
      </c>
      <c r="G78" s="4">
        <v>0</v>
      </c>
      <c r="H78" s="4">
        <f t="shared" si="24"/>
        <v>43543697.46474009</v>
      </c>
      <c r="I78" s="4">
        <f t="shared" si="25"/>
        <v>11580.770602324492</v>
      </c>
      <c r="J78" s="4">
        <v>3754.8</v>
      </c>
      <c r="K78" s="5">
        <f t="shared" si="26"/>
        <v>3754.8</v>
      </c>
      <c r="L78" s="4">
        <v>12200</v>
      </c>
      <c r="M78" s="4">
        <f t="shared" si="22"/>
        <v>45868780.007132091</v>
      </c>
      <c r="N78" s="4">
        <f t="shared" si="27"/>
        <v>2325082.5423919982</v>
      </c>
      <c r="O78" s="4">
        <f t="shared" si="28"/>
        <v>2325082.5423919982</v>
      </c>
      <c r="P78" s="4">
        <f t="shared" si="29"/>
        <v>0</v>
      </c>
      <c r="T78" s="4">
        <f t="shared" si="30"/>
        <v>11580.770602324492</v>
      </c>
      <c r="U78" s="4">
        <f t="shared" si="31"/>
        <v>2325082.5423919982</v>
      </c>
      <c r="V78" s="4">
        <f t="shared" si="32"/>
        <v>2325082.5423919982</v>
      </c>
      <c r="W78" s="4">
        <f t="shared" si="33"/>
        <v>0</v>
      </c>
      <c r="X78" s="5">
        <f t="shared" si="34"/>
        <v>45868780.007132091</v>
      </c>
      <c r="Y78" s="5">
        <f t="shared" si="35"/>
        <v>0</v>
      </c>
      <c r="Z78" s="5">
        <f t="shared" si="35"/>
        <v>0</v>
      </c>
      <c r="AB78" s="5">
        <f t="shared" si="23"/>
        <v>5.1999999999998181</v>
      </c>
      <c r="AC78" s="4">
        <f t="shared" si="36"/>
        <v>60220.007132085251</v>
      </c>
      <c r="AD78" s="4">
        <f t="shared" si="37"/>
        <v>63439.999999997781</v>
      </c>
      <c r="AE78" s="5">
        <f t="shared" si="38"/>
        <v>-3219.9928679125296</v>
      </c>
      <c r="AF78" s="3" t="str">
        <f t="shared" si="39"/>
        <v>N</v>
      </c>
      <c r="AH78" s="4">
        <f t="shared" si="40"/>
        <v>43483477.457608007</v>
      </c>
      <c r="AI78" s="4">
        <f t="shared" si="41"/>
        <v>45808560</v>
      </c>
    </row>
    <row r="79" spans="1:35">
      <c r="A79" s="3">
        <v>77</v>
      </c>
      <c r="B79" s="3" t="s">
        <v>744</v>
      </c>
      <c r="C79" s="3" t="s">
        <v>667</v>
      </c>
      <c r="D79" s="4">
        <v>6625</v>
      </c>
      <c r="E79" s="4">
        <v>58270897.923460931</v>
      </c>
      <c r="F79" s="4">
        <v>0</v>
      </c>
      <c r="G79" s="4">
        <v>0</v>
      </c>
      <c r="H79" s="4">
        <f t="shared" si="24"/>
        <v>58270897.923460931</v>
      </c>
      <c r="I79" s="4">
        <f t="shared" si="25"/>
        <v>8795.607233729952</v>
      </c>
      <c r="J79" s="4">
        <v>6988.4</v>
      </c>
      <c r="K79" s="5">
        <f t="shared" si="26"/>
        <v>6625</v>
      </c>
      <c r="L79" s="4">
        <v>10400</v>
      </c>
      <c r="M79" s="4">
        <f t="shared" si="22"/>
        <v>68900000</v>
      </c>
      <c r="N79" s="4">
        <f t="shared" si="27"/>
        <v>10629102.076539068</v>
      </c>
      <c r="O79" s="4">
        <f t="shared" si="28"/>
        <v>10629102.076539068</v>
      </c>
      <c r="P79" s="4">
        <f t="shared" si="29"/>
        <v>0</v>
      </c>
      <c r="T79" s="4">
        <f t="shared" si="30"/>
        <v>8795.607233729952</v>
      </c>
      <c r="U79" s="4">
        <f t="shared" si="31"/>
        <v>10629102.076539068</v>
      </c>
      <c r="V79" s="4">
        <f t="shared" si="32"/>
        <v>10629102.076539068</v>
      </c>
      <c r="W79" s="4">
        <f t="shared" si="33"/>
        <v>0</v>
      </c>
      <c r="X79" s="5">
        <f t="shared" si="34"/>
        <v>68900000</v>
      </c>
      <c r="Y79" s="5">
        <f t="shared" si="35"/>
        <v>0</v>
      </c>
      <c r="Z79" s="5">
        <f t="shared" si="35"/>
        <v>0</v>
      </c>
      <c r="AB79" s="5">
        <f t="shared" si="23"/>
        <v>-363.39999999999964</v>
      </c>
      <c r="AC79" s="4">
        <f t="shared" si="36"/>
        <v>-3196323.6687374613</v>
      </c>
      <c r="AD79" s="4">
        <f t="shared" si="37"/>
        <v>-3779359.9999999963</v>
      </c>
      <c r="AE79" s="5">
        <f t="shared" si="38"/>
        <v>0</v>
      </c>
      <c r="AF79" s="3" t="str">
        <f t="shared" si="39"/>
        <v>N</v>
      </c>
      <c r="AH79" s="4">
        <f t="shared" si="40"/>
        <v>58270897.923460931</v>
      </c>
      <c r="AI79" s="4">
        <f t="shared" si="41"/>
        <v>68900000</v>
      </c>
    </row>
    <row r="80" spans="1:35">
      <c r="A80" s="3">
        <v>78</v>
      </c>
      <c r="B80" s="3" t="s">
        <v>745</v>
      </c>
      <c r="C80" s="3" t="s">
        <v>667</v>
      </c>
      <c r="D80" s="4">
        <v>2300</v>
      </c>
      <c r="E80" s="4">
        <v>53567462.686962441</v>
      </c>
      <c r="F80" s="4">
        <v>0</v>
      </c>
      <c r="G80" s="4">
        <v>0</v>
      </c>
      <c r="H80" s="4">
        <f t="shared" si="24"/>
        <v>53567462.686962441</v>
      </c>
      <c r="I80" s="4">
        <f t="shared" si="25"/>
        <v>23290.201168244541</v>
      </c>
      <c r="J80" s="4">
        <v>2270.5</v>
      </c>
      <c r="K80" s="5">
        <f t="shared" si="26"/>
        <v>2270.5</v>
      </c>
      <c r="L80" s="4">
        <v>25000</v>
      </c>
      <c r="M80" s="4">
        <f t="shared" si="22"/>
        <v>57449560.93446321</v>
      </c>
      <c r="N80" s="4">
        <f t="shared" si="27"/>
        <v>3882098.2475007698</v>
      </c>
      <c r="O80" s="4">
        <f t="shared" si="28"/>
        <v>3882098.2475007698</v>
      </c>
      <c r="P80" s="4">
        <f t="shared" si="29"/>
        <v>0</v>
      </c>
      <c r="T80" s="4">
        <f t="shared" si="30"/>
        <v>23290.201168244541</v>
      </c>
      <c r="U80" s="4">
        <f t="shared" si="31"/>
        <v>3882098.2475007698</v>
      </c>
      <c r="V80" s="4">
        <f t="shared" si="32"/>
        <v>3882098.2475007698</v>
      </c>
      <c r="W80" s="4">
        <f t="shared" si="33"/>
        <v>0</v>
      </c>
      <c r="X80" s="5">
        <f t="shared" si="34"/>
        <v>57449560.93446321</v>
      </c>
      <c r="Y80" s="5">
        <f t="shared" si="35"/>
        <v>0</v>
      </c>
      <c r="Z80" s="5">
        <f t="shared" si="35"/>
        <v>0</v>
      </c>
      <c r="AB80" s="5">
        <f t="shared" si="23"/>
        <v>29.5</v>
      </c>
      <c r="AC80" s="4">
        <f t="shared" si="36"/>
        <v>687060.93446321401</v>
      </c>
      <c r="AD80" s="4">
        <f t="shared" si="37"/>
        <v>737500</v>
      </c>
      <c r="AE80" s="5">
        <f t="shared" si="38"/>
        <v>-50439.065536785987</v>
      </c>
      <c r="AF80" s="3" t="str">
        <f t="shared" si="39"/>
        <v>N</v>
      </c>
      <c r="AH80" s="4">
        <f t="shared" si="40"/>
        <v>52880401.75249923</v>
      </c>
      <c r="AI80" s="4">
        <f t="shared" si="41"/>
        <v>56762500</v>
      </c>
    </row>
    <row r="81" spans="1:35">
      <c r="A81" s="3">
        <v>79</v>
      </c>
      <c r="B81" s="3" t="s">
        <v>746</v>
      </c>
      <c r="C81" s="3" t="s">
        <v>667</v>
      </c>
      <c r="D81" s="4">
        <v>7500</v>
      </c>
      <c r="E81" s="4">
        <v>188253084.95782197</v>
      </c>
      <c r="F81" s="4">
        <v>0</v>
      </c>
      <c r="G81" s="4">
        <v>0</v>
      </c>
      <c r="H81" s="4">
        <f t="shared" si="24"/>
        <v>188253084.95782197</v>
      </c>
      <c r="I81" s="4">
        <f t="shared" si="25"/>
        <v>25100.411327709597</v>
      </c>
      <c r="J81" s="4">
        <v>7525.5</v>
      </c>
      <c r="K81" s="5">
        <f t="shared" si="26"/>
        <v>7500</v>
      </c>
      <c r="L81" s="4">
        <v>32400</v>
      </c>
      <c r="M81" s="4">
        <f t="shared" si="22"/>
        <v>243000000</v>
      </c>
      <c r="N81" s="4">
        <f t="shared" si="27"/>
        <v>54746915.042178027</v>
      </c>
      <c r="O81" s="4">
        <f t="shared" si="28"/>
        <v>54746915.042178027</v>
      </c>
      <c r="P81" s="4">
        <f t="shared" si="29"/>
        <v>0</v>
      </c>
      <c r="T81" s="4">
        <f t="shared" si="30"/>
        <v>25100.411327709597</v>
      </c>
      <c r="U81" s="4">
        <f t="shared" si="31"/>
        <v>54746915.042178027</v>
      </c>
      <c r="V81" s="4">
        <f t="shared" si="32"/>
        <v>54746915.042178027</v>
      </c>
      <c r="W81" s="4">
        <f t="shared" si="33"/>
        <v>0</v>
      </c>
      <c r="X81" s="5">
        <f t="shared" si="34"/>
        <v>243000000</v>
      </c>
      <c r="Y81" s="5">
        <f t="shared" si="35"/>
        <v>0</v>
      </c>
      <c r="Z81" s="5">
        <f t="shared" si="35"/>
        <v>0</v>
      </c>
      <c r="AB81" s="5">
        <f t="shared" si="23"/>
        <v>-25.5</v>
      </c>
      <c r="AC81" s="4">
        <f t="shared" si="36"/>
        <v>-640060.48885659466</v>
      </c>
      <c r="AD81" s="4">
        <f t="shared" si="37"/>
        <v>-826200</v>
      </c>
      <c r="AE81" s="5">
        <f t="shared" si="38"/>
        <v>0</v>
      </c>
      <c r="AF81" s="3" t="str">
        <f t="shared" si="39"/>
        <v>N</v>
      </c>
      <c r="AH81" s="4">
        <f t="shared" si="40"/>
        <v>188253084.95782197</v>
      </c>
      <c r="AI81" s="4">
        <f t="shared" si="41"/>
        <v>243000000</v>
      </c>
    </row>
    <row r="82" spans="1:35">
      <c r="A82" s="3">
        <v>80</v>
      </c>
      <c r="B82" s="3" t="s">
        <v>747</v>
      </c>
      <c r="C82" s="3" t="s">
        <v>667</v>
      </c>
      <c r="D82" s="4">
        <v>6513</v>
      </c>
      <c r="E82" s="4">
        <v>366121778.86972255</v>
      </c>
      <c r="F82" s="4">
        <v>0</v>
      </c>
      <c r="G82" s="4">
        <v>0</v>
      </c>
      <c r="H82" s="4">
        <f t="shared" si="24"/>
        <v>366121778.86972255</v>
      </c>
      <c r="I82" s="4">
        <f t="shared" si="25"/>
        <v>56213.999519380093</v>
      </c>
      <c r="J82" s="4">
        <v>6440.6</v>
      </c>
      <c r="K82" s="5">
        <f t="shared" si="26"/>
        <v>6440.6</v>
      </c>
      <c r="L82" s="4">
        <v>94400</v>
      </c>
      <c r="M82" s="4">
        <f t="shared" si="22"/>
        <v>612062533.56520319</v>
      </c>
      <c r="N82" s="4">
        <f t="shared" si="27"/>
        <v>245940754.69548059</v>
      </c>
      <c r="O82" s="4">
        <f t="shared" si="28"/>
        <v>245940754.69548059</v>
      </c>
      <c r="P82" s="4">
        <f t="shared" si="29"/>
        <v>0</v>
      </c>
      <c r="T82" s="4">
        <f t="shared" si="30"/>
        <v>56213.999519380093</v>
      </c>
      <c r="U82" s="4">
        <f t="shared" si="31"/>
        <v>245940754.69548059</v>
      </c>
      <c r="V82" s="4">
        <f t="shared" si="32"/>
        <v>245940754.69548059</v>
      </c>
      <c r="W82" s="4">
        <f t="shared" si="33"/>
        <v>0</v>
      </c>
      <c r="X82" s="5">
        <f t="shared" si="34"/>
        <v>612062533.56520319</v>
      </c>
      <c r="Y82" s="5">
        <f t="shared" si="35"/>
        <v>0</v>
      </c>
      <c r="Z82" s="5">
        <f t="shared" si="35"/>
        <v>0</v>
      </c>
      <c r="AB82" s="5">
        <f t="shared" si="23"/>
        <v>72.399999999999636</v>
      </c>
      <c r="AC82" s="4">
        <f t="shared" si="36"/>
        <v>4069893.5652030981</v>
      </c>
      <c r="AD82" s="4">
        <f t="shared" si="37"/>
        <v>6834559.9999999655</v>
      </c>
      <c r="AE82" s="5">
        <f t="shared" si="38"/>
        <v>-2764666.4347968674</v>
      </c>
      <c r="AF82" s="3" t="str">
        <f t="shared" si="39"/>
        <v>N</v>
      </c>
      <c r="AH82" s="4">
        <f t="shared" si="40"/>
        <v>362051885.30451947</v>
      </c>
      <c r="AI82" s="4">
        <f t="shared" si="41"/>
        <v>607992640</v>
      </c>
    </row>
    <row r="83" spans="1:35">
      <c r="A83" s="3">
        <v>81</v>
      </c>
      <c r="B83" s="3" t="s">
        <v>748</v>
      </c>
      <c r="C83" s="3" t="s">
        <v>667</v>
      </c>
      <c r="D83" s="4">
        <v>18400</v>
      </c>
      <c r="E83" s="4">
        <v>675140530.74763024</v>
      </c>
      <c r="F83" s="4">
        <v>0</v>
      </c>
      <c r="G83" s="4">
        <v>0</v>
      </c>
      <c r="H83" s="4">
        <f t="shared" si="24"/>
        <v>675140530.74763024</v>
      </c>
      <c r="I83" s="4">
        <f t="shared" si="25"/>
        <v>36692.420149327729</v>
      </c>
      <c r="J83" s="4">
        <v>18375.599999999999</v>
      </c>
      <c r="K83" s="5">
        <f t="shared" si="26"/>
        <v>18375.599999999999</v>
      </c>
      <c r="L83" s="4">
        <v>52300</v>
      </c>
      <c r="M83" s="4">
        <f t="shared" si="22"/>
        <v>961939175.05164361</v>
      </c>
      <c r="N83" s="4">
        <f t="shared" si="27"/>
        <v>286798644.30401337</v>
      </c>
      <c r="O83" s="4">
        <f t="shared" si="28"/>
        <v>286798644.30401337</v>
      </c>
      <c r="P83" s="4">
        <f t="shared" si="29"/>
        <v>0</v>
      </c>
      <c r="T83" s="4">
        <f t="shared" si="30"/>
        <v>36692.420149327729</v>
      </c>
      <c r="U83" s="4">
        <f t="shared" si="31"/>
        <v>286798644.30401337</v>
      </c>
      <c r="V83" s="4">
        <f t="shared" si="32"/>
        <v>286798644.30401337</v>
      </c>
      <c r="W83" s="4">
        <f t="shared" si="33"/>
        <v>0</v>
      </c>
      <c r="X83" s="5">
        <f t="shared" si="34"/>
        <v>961939175.05164361</v>
      </c>
      <c r="Y83" s="5">
        <f t="shared" si="35"/>
        <v>0</v>
      </c>
      <c r="Z83" s="5">
        <f t="shared" si="35"/>
        <v>0</v>
      </c>
      <c r="AB83" s="5">
        <f t="shared" si="23"/>
        <v>24.400000000001455</v>
      </c>
      <c r="AC83" s="4">
        <f t="shared" si="36"/>
        <v>895295.05164364993</v>
      </c>
      <c r="AD83" s="4">
        <f t="shared" si="37"/>
        <v>1276120.0000000761</v>
      </c>
      <c r="AE83" s="5">
        <f t="shared" si="38"/>
        <v>-380824.9483564262</v>
      </c>
      <c r="AF83" s="3" t="str">
        <f t="shared" si="39"/>
        <v>N</v>
      </c>
      <c r="AH83" s="4">
        <f t="shared" si="40"/>
        <v>674245235.69598651</v>
      </c>
      <c r="AI83" s="4">
        <f t="shared" si="41"/>
        <v>961043879.99999988</v>
      </c>
    </row>
    <row r="84" spans="1:35">
      <c r="A84" s="3">
        <v>82</v>
      </c>
      <c r="B84" s="3" t="s">
        <v>749</v>
      </c>
      <c r="C84" s="3" t="s">
        <v>667</v>
      </c>
      <c r="D84" s="4">
        <v>1735</v>
      </c>
      <c r="E84" s="4">
        <v>79217746.529698536</v>
      </c>
      <c r="F84" s="4">
        <v>0</v>
      </c>
      <c r="G84" s="4">
        <v>0</v>
      </c>
      <c r="H84" s="4">
        <f t="shared" si="24"/>
        <v>79217746.529698536</v>
      </c>
      <c r="I84" s="4">
        <f t="shared" si="25"/>
        <v>45658.643532967457</v>
      </c>
      <c r="J84" s="4">
        <v>1683.7</v>
      </c>
      <c r="K84" s="5">
        <f t="shared" si="26"/>
        <v>1683.7</v>
      </c>
      <c r="L84" s="4">
        <v>38000</v>
      </c>
      <c r="M84" s="4">
        <f t="shared" si="22"/>
        <v>66322888.41324123</v>
      </c>
      <c r="N84" s="4">
        <f t="shared" si="27"/>
        <v>-12894858.116457308</v>
      </c>
      <c r="O84" s="4">
        <f t="shared" si="28"/>
        <v>0</v>
      </c>
      <c r="P84" s="4">
        <f t="shared" si="29"/>
        <v>-12894858.116457308</v>
      </c>
      <c r="T84" s="4">
        <f t="shared" si="30"/>
        <v>45658.643532967457</v>
      </c>
      <c r="U84" s="4">
        <f t="shared" si="31"/>
        <v>-12894858.116457308</v>
      </c>
      <c r="V84" s="4">
        <f t="shared" si="32"/>
        <v>0</v>
      </c>
      <c r="W84" s="4">
        <f t="shared" si="33"/>
        <v>-12894858.116457308</v>
      </c>
      <c r="X84" s="5">
        <f t="shared" si="34"/>
        <v>66322888.41324123</v>
      </c>
      <c r="Y84" s="5">
        <f t="shared" si="35"/>
        <v>0</v>
      </c>
      <c r="Z84" s="5">
        <f t="shared" si="35"/>
        <v>0</v>
      </c>
      <c r="AB84" s="5">
        <f t="shared" si="23"/>
        <v>51.299999999999955</v>
      </c>
      <c r="AC84" s="4">
        <f t="shared" si="36"/>
        <v>2342288.4132412286</v>
      </c>
      <c r="AD84" s="4">
        <f t="shared" si="37"/>
        <v>1949399.9999999984</v>
      </c>
      <c r="AE84" s="5">
        <f t="shared" si="38"/>
        <v>392888.41324123018</v>
      </c>
      <c r="AF84" s="3" t="str">
        <f t="shared" si="39"/>
        <v>Y</v>
      </c>
      <c r="AH84" s="4">
        <f t="shared" si="40"/>
        <v>76875458.116457313</v>
      </c>
      <c r="AI84" s="4">
        <f t="shared" si="41"/>
        <v>63980600</v>
      </c>
    </row>
    <row r="85" spans="1:35">
      <c r="A85" s="3">
        <v>83</v>
      </c>
      <c r="B85" s="3" t="s">
        <v>750</v>
      </c>
      <c r="C85" s="3" t="s">
        <v>667</v>
      </c>
      <c r="D85" s="4">
        <v>900</v>
      </c>
      <c r="E85" s="4">
        <v>87296343.712120205</v>
      </c>
      <c r="F85" s="4">
        <v>0</v>
      </c>
      <c r="G85" s="4">
        <v>0</v>
      </c>
      <c r="H85" s="4">
        <f t="shared" si="24"/>
        <v>87296343.712120205</v>
      </c>
      <c r="I85" s="4">
        <f t="shared" si="25"/>
        <v>96995.937457911336</v>
      </c>
      <c r="J85" s="4">
        <v>871.7</v>
      </c>
      <c r="K85" s="5">
        <f t="shared" si="26"/>
        <v>871.7</v>
      </c>
      <c r="L85" s="4">
        <v>104000</v>
      </c>
      <c r="M85" s="4">
        <f t="shared" si="22"/>
        <v>93401785.030058891</v>
      </c>
      <c r="N85" s="4">
        <f t="shared" si="27"/>
        <v>6105441.3179386891</v>
      </c>
      <c r="O85" s="4">
        <f t="shared" si="28"/>
        <v>6105441.3179386891</v>
      </c>
      <c r="P85" s="4">
        <f t="shared" si="29"/>
        <v>0</v>
      </c>
      <c r="T85" s="4">
        <f t="shared" si="30"/>
        <v>96995.937457911336</v>
      </c>
      <c r="U85" s="4">
        <f t="shared" si="31"/>
        <v>6105441.3179386891</v>
      </c>
      <c r="V85" s="4">
        <f t="shared" si="32"/>
        <v>6105441.3179386891</v>
      </c>
      <c r="W85" s="4">
        <f t="shared" si="33"/>
        <v>0</v>
      </c>
      <c r="X85" s="5">
        <f t="shared" si="34"/>
        <v>93401785.030058891</v>
      </c>
      <c r="Y85" s="5">
        <f t="shared" si="35"/>
        <v>0</v>
      </c>
      <c r="Z85" s="5">
        <f t="shared" si="35"/>
        <v>0</v>
      </c>
      <c r="AB85" s="5">
        <f t="shared" si="23"/>
        <v>28.299999999999955</v>
      </c>
      <c r="AC85" s="4">
        <f t="shared" si="36"/>
        <v>2744985.0300588864</v>
      </c>
      <c r="AD85" s="4">
        <f t="shared" si="37"/>
        <v>2943199.9999999953</v>
      </c>
      <c r="AE85" s="5">
        <f t="shared" si="38"/>
        <v>-198214.96994110895</v>
      </c>
      <c r="AF85" s="3" t="str">
        <f t="shared" si="39"/>
        <v>N</v>
      </c>
      <c r="AH85" s="4">
        <f t="shared" si="40"/>
        <v>84551358.682061315</v>
      </c>
      <c r="AI85" s="4">
        <f t="shared" si="41"/>
        <v>90656800</v>
      </c>
    </row>
    <row r="86" spans="1:35">
      <c r="A86" s="3">
        <v>84</v>
      </c>
      <c r="B86" s="3" t="s">
        <v>751</v>
      </c>
      <c r="C86" s="3" t="s">
        <v>667</v>
      </c>
      <c r="D86" s="4">
        <v>2800</v>
      </c>
      <c r="E86" s="4">
        <v>24469643.795576841</v>
      </c>
      <c r="F86" s="4">
        <v>0</v>
      </c>
      <c r="G86" s="4">
        <v>0</v>
      </c>
      <c r="H86" s="4">
        <f t="shared" si="24"/>
        <v>24469643.795576841</v>
      </c>
      <c r="I86" s="4">
        <f t="shared" si="25"/>
        <v>8739.1584984203</v>
      </c>
      <c r="J86" s="4">
        <v>2712</v>
      </c>
      <c r="K86" s="5">
        <f t="shared" si="26"/>
        <v>2712</v>
      </c>
      <c r="L86" s="4">
        <v>7550</v>
      </c>
      <c r="M86" s="4">
        <f t="shared" si="22"/>
        <v>21244645.947860986</v>
      </c>
      <c r="N86" s="4">
        <f t="shared" si="27"/>
        <v>-3224997.8477158537</v>
      </c>
      <c r="O86" s="4">
        <f t="shared" si="28"/>
        <v>0</v>
      </c>
      <c r="P86" s="4">
        <f t="shared" si="29"/>
        <v>-3224997.8477158537</v>
      </c>
      <c r="T86" s="4">
        <f t="shared" si="30"/>
        <v>8739.1584984203</v>
      </c>
      <c r="U86" s="4">
        <f t="shared" si="31"/>
        <v>-3224997.8477158537</v>
      </c>
      <c r="V86" s="4">
        <f t="shared" si="32"/>
        <v>0</v>
      </c>
      <c r="W86" s="4">
        <f t="shared" si="33"/>
        <v>-3224997.8477158537</v>
      </c>
      <c r="X86" s="5">
        <f t="shared" si="34"/>
        <v>21244645.947860986</v>
      </c>
      <c r="Y86" s="5">
        <f t="shared" si="35"/>
        <v>0</v>
      </c>
      <c r="Z86" s="5">
        <f t="shared" si="35"/>
        <v>0</v>
      </c>
      <c r="AB86" s="5">
        <f t="shared" si="23"/>
        <v>88</v>
      </c>
      <c r="AC86" s="4">
        <f t="shared" si="36"/>
        <v>769045.94786098646</v>
      </c>
      <c r="AD86" s="4">
        <f t="shared" si="37"/>
        <v>664400</v>
      </c>
      <c r="AE86" s="5">
        <f t="shared" si="38"/>
        <v>104645.94786098646</v>
      </c>
      <c r="AF86" s="3" t="str">
        <f t="shared" si="39"/>
        <v>Y</v>
      </c>
      <c r="AH86" s="4">
        <f t="shared" si="40"/>
        <v>23700597.847715855</v>
      </c>
      <c r="AI86" s="4">
        <f t="shared" si="41"/>
        <v>20475600</v>
      </c>
    </row>
    <row r="87" spans="1:35">
      <c r="A87" s="3">
        <v>85</v>
      </c>
      <c r="B87" s="3" t="s">
        <v>752</v>
      </c>
      <c r="C87" s="3" t="s">
        <v>667</v>
      </c>
      <c r="D87" s="4">
        <v>76526</v>
      </c>
      <c r="E87" s="4">
        <v>1257528857.1405592</v>
      </c>
      <c r="F87" s="4">
        <v>0</v>
      </c>
      <c r="G87" s="4">
        <v>0</v>
      </c>
      <c r="H87" s="4">
        <f t="shared" si="24"/>
        <v>1257528857.1405592</v>
      </c>
      <c r="I87" s="4">
        <f t="shared" si="25"/>
        <v>16432.700744068148</v>
      </c>
      <c r="J87" s="4">
        <v>76504.899999999994</v>
      </c>
      <c r="K87" s="5">
        <f t="shared" si="26"/>
        <v>76504.899999999994</v>
      </c>
      <c r="L87" s="4">
        <v>26750</v>
      </c>
      <c r="M87" s="4">
        <f t="shared" si="22"/>
        <v>2046852804.9856999</v>
      </c>
      <c r="N87" s="4">
        <f t="shared" si="27"/>
        <v>789323947.8451407</v>
      </c>
      <c r="O87" s="4">
        <f t="shared" si="28"/>
        <v>789323947.8451407</v>
      </c>
      <c r="P87" s="4">
        <f t="shared" si="29"/>
        <v>0</v>
      </c>
      <c r="T87" s="4">
        <f t="shared" si="30"/>
        <v>16432.700744068148</v>
      </c>
      <c r="U87" s="4">
        <f t="shared" si="31"/>
        <v>789323947.8451407</v>
      </c>
      <c r="V87" s="4">
        <f t="shared" si="32"/>
        <v>789323947.8451407</v>
      </c>
      <c r="W87" s="4">
        <f t="shared" si="33"/>
        <v>0</v>
      </c>
      <c r="X87" s="5">
        <f t="shared" si="34"/>
        <v>2046852804.9856999</v>
      </c>
      <c r="Y87" s="5">
        <f t="shared" si="35"/>
        <v>0</v>
      </c>
      <c r="Z87" s="5">
        <f t="shared" si="35"/>
        <v>0</v>
      </c>
      <c r="AB87" s="5">
        <f t="shared" si="23"/>
        <v>21.100000000005821</v>
      </c>
      <c r="AC87" s="4">
        <f t="shared" si="36"/>
        <v>346729.9856999336</v>
      </c>
      <c r="AD87" s="4">
        <f t="shared" si="37"/>
        <v>564425.00000015576</v>
      </c>
      <c r="AE87" s="5">
        <f t="shared" si="38"/>
        <v>-217695.01430022216</v>
      </c>
      <c r="AF87" s="3" t="str">
        <f t="shared" si="39"/>
        <v>N</v>
      </c>
      <c r="AH87" s="4">
        <f t="shared" si="40"/>
        <v>1257182127.1548591</v>
      </c>
      <c r="AI87" s="4">
        <f t="shared" si="41"/>
        <v>2046506074.9999998</v>
      </c>
    </row>
    <row r="88" spans="1:35">
      <c r="A88" s="3">
        <v>86</v>
      </c>
      <c r="B88" s="3" t="s">
        <v>753</v>
      </c>
      <c r="C88" s="3" t="s">
        <v>667</v>
      </c>
      <c r="D88" s="4">
        <v>52500</v>
      </c>
      <c r="E88" s="4">
        <v>138937268.81019437</v>
      </c>
      <c r="F88" s="4">
        <v>0</v>
      </c>
      <c r="G88" s="4">
        <v>0</v>
      </c>
      <c r="H88" s="4">
        <f t="shared" si="24"/>
        <v>138937268.81019437</v>
      </c>
      <c r="I88" s="4">
        <f t="shared" si="25"/>
        <v>2646.4241678132262</v>
      </c>
      <c r="J88" s="4">
        <v>53781.8</v>
      </c>
      <c r="K88" s="5">
        <f t="shared" si="26"/>
        <v>52500</v>
      </c>
      <c r="L88" s="4">
        <v>2450</v>
      </c>
      <c r="M88" s="4">
        <f t="shared" si="22"/>
        <v>128625000</v>
      </c>
      <c r="N88" s="4">
        <f t="shared" si="27"/>
        <v>-10312268.810194375</v>
      </c>
      <c r="O88" s="4">
        <f t="shared" si="28"/>
        <v>0</v>
      </c>
      <c r="P88" s="4">
        <f t="shared" si="29"/>
        <v>-10312268.810194375</v>
      </c>
      <c r="T88" s="4">
        <f t="shared" si="30"/>
        <v>2646.4241678132262</v>
      </c>
      <c r="U88" s="4">
        <f t="shared" si="31"/>
        <v>-10312268.810194375</v>
      </c>
      <c r="V88" s="4">
        <f t="shared" si="32"/>
        <v>0</v>
      </c>
      <c r="W88" s="4">
        <f t="shared" si="33"/>
        <v>-10312268.810194375</v>
      </c>
      <c r="X88" s="5">
        <f t="shared" si="34"/>
        <v>128625000</v>
      </c>
      <c r="Y88" s="5">
        <f t="shared" si="35"/>
        <v>0</v>
      </c>
      <c r="Z88" s="5">
        <f t="shared" si="35"/>
        <v>0</v>
      </c>
      <c r="AB88" s="5">
        <f t="shared" si="23"/>
        <v>-1281.8000000000029</v>
      </c>
      <c r="AC88" s="4">
        <f t="shared" si="36"/>
        <v>-3392186.4983030008</v>
      </c>
      <c r="AD88" s="4">
        <f t="shared" si="37"/>
        <v>-3140410.000000007</v>
      </c>
      <c r="AE88" s="5">
        <f t="shared" si="38"/>
        <v>0</v>
      </c>
      <c r="AF88" s="3" t="str">
        <f t="shared" si="39"/>
        <v>N</v>
      </c>
      <c r="AH88" s="4">
        <f t="shared" si="40"/>
        <v>138937268.81019437</v>
      </c>
      <c r="AI88" s="4">
        <f t="shared" si="41"/>
        <v>128625000</v>
      </c>
    </row>
    <row r="89" spans="1:35">
      <c r="A89" s="3">
        <v>87</v>
      </c>
      <c r="B89" s="3" t="s">
        <v>754</v>
      </c>
      <c r="C89" s="3" t="s">
        <v>667</v>
      </c>
      <c r="D89" s="4">
        <v>300</v>
      </c>
      <c r="E89" s="4">
        <v>15260459.056780905</v>
      </c>
      <c r="F89" s="4">
        <v>0</v>
      </c>
      <c r="G89" s="4">
        <v>0</v>
      </c>
      <c r="H89" s="4">
        <f t="shared" si="24"/>
        <v>15260459.056780905</v>
      </c>
      <c r="I89" s="4">
        <f t="shared" si="25"/>
        <v>50868.196855936345</v>
      </c>
      <c r="J89" s="4">
        <v>288.8</v>
      </c>
      <c r="K89" s="5">
        <f t="shared" si="26"/>
        <v>288.8</v>
      </c>
      <c r="L89" s="4">
        <v>57500</v>
      </c>
      <c r="M89" s="4">
        <f t="shared" si="22"/>
        <v>17175723.804786488</v>
      </c>
      <c r="N89" s="4">
        <f t="shared" si="27"/>
        <v>1915264.7480055836</v>
      </c>
      <c r="O89" s="4">
        <f t="shared" si="28"/>
        <v>1915264.7480055836</v>
      </c>
      <c r="P89" s="4">
        <f t="shared" si="29"/>
        <v>0</v>
      </c>
      <c r="T89" s="4">
        <f t="shared" si="30"/>
        <v>50868.196855936345</v>
      </c>
      <c r="U89" s="4">
        <f t="shared" si="31"/>
        <v>1915264.7480055836</v>
      </c>
      <c r="V89" s="4">
        <f t="shared" si="32"/>
        <v>1915264.7480055836</v>
      </c>
      <c r="W89" s="4">
        <f t="shared" si="33"/>
        <v>0</v>
      </c>
      <c r="X89" s="5">
        <f t="shared" si="34"/>
        <v>17175723.804786488</v>
      </c>
      <c r="Y89" s="5">
        <f t="shared" si="35"/>
        <v>0</v>
      </c>
      <c r="Z89" s="5">
        <f t="shared" si="35"/>
        <v>0</v>
      </c>
      <c r="AB89" s="5">
        <f t="shared" si="23"/>
        <v>11.199999999999989</v>
      </c>
      <c r="AC89" s="4">
        <f t="shared" si="36"/>
        <v>569723.80478648643</v>
      </c>
      <c r="AD89" s="4">
        <f t="shared" si="37"/>
        <v>643999.9999999993</v>
      </c>
      <c r="AE89" s="5">
        <f t="shared" si="38"/>
        <v>-74276.195213512867</v>
      </c>
      <c r="AF89" s="3" t="str">
        <f t="shared" si="39"/>
        <v>N</v>
      </c>
      <c r="AH89" s="4">
        <f t="shared" si="40"/>
        <v>14690735.251994416</v>
      </c>
      <c r="AI89" s="4">
        <f t="shared" si="41"/>
        <v>16606000</v>
      </c>
    </row>
    <row r="90" spans="1:35">
      <c r="A90" s="3">
        <v>88</v>
      </c>
      <c r="B90" s="3" t="s">
        <v>755</v>
      </c>
      <c r="C90" s="3" t="s">
        <v>667</v>
      </c>
      <c r="D90" s="4">
        <v>4700</v>
      </c>
      <c r="E90" s="4">
        <v>142616459.13054466</v>
      </c>
      <c r="F90" s="4">
        <v>0</v>
      </c>
      <c r="G90" s="4">
        <v>0</v>
      </c>
      <c r="H90" s="4">
        <f t="shared" si="24"/>
        <v>142616459.13054466</v>
      </c>
      <c r="I90" s="4">
        <f t="shared" si="25"/>
        <v>30343.927474583972</v>
      </c>
      <c r="J90" s="4">
        <v>4607.5</v>
      </c>
      <c r="K90" s="5">
        <f t="shared" si="26"/>
        <v>4607.5</v>
      </c>
      <c r="L90" s="4">
        <v>39650</v>
      </c>
      <c r="M90" s="4">
        <f t="shared" si="22"/>
        <v>185494188.291399</v>
      </c>
      <c r="N90" s="4">
        <f t="shared" si="27"/>
        <v>42877729.160854347</v>
      </c>
      <c r="O90" s="4">
        <f t="shared" si="28"/>
        <v>42877729.160854347</v>
      </c>
      <c r="P90" s="4">
        <f t="shared" si="29"/>
        <v>0</v>
      </c>
      <c r="T90" s="4">
        <f t="shared" si="30"/>
        <v>30343.927474583972</v>
      </c>
      <c r="U90" s="4">
        <f t="shared" si="31"/>
        <v>42877729.160854347</v>
      </c>
      <c r="V90" s="4">
        <f t="shared" si="32"/>
        <v>42877729.160854347</v>
      </c>
      <c r="W90" s="4">
        <f t="shared" si="33"/>
        <v>0</v>
      </c>
      <c r="X90" s="5">
        <f t="shared" si="34"/>
        <v>185494188.291399</v>
      </c>
      <c r="Y90" s="5">
        <f t="shared" si="35"/>
        <v>0</v>
      </c>
      <c r="Z90" s="5">
        <f t="shared" si="35"/>
        <v>0</v>
      </c>
      <c r="AB90" s="5">
        <f t="shared" si="23"/>
        <v>92.5</v>
      </c>
      <c r="AC90" s="4">
        <f t="shared" si="36"/>
        <v>2806813.2913990174</v>
      </c>
      <c r="AD90" s="4">
        <f t="shared" si="37"/>
        <v>3667625</v>
      </c>
      <c r="AE90" s="5">
        <f t="shared" si="38"/>
        <v>-860811.70860098256</v>
      </c>
      <c r="AF90" s="3" t="str">
        <f t="shared" si="39"/>
        <v>N</v>
      </c>
      <c r="AH90" s="4">
        <f t="shared" si="40"/>
        <v>139809645.83914566</v>
      </c>
      <c r="AI90" s="4">
        <f t="shared" si="41"/>
        <v>182687375</v>
      </c>
    </row>
    <row r="91" spans="1:35">
      <c r="A91" s="3">
        <v>89</v>
      </c>
      <c r="B91" s="3" t="s">
        <v>756</v>
      </c>
      <c r="C91" s="3" t="s">
        <v>667</v>
      </c>
      <c r="D91" s="4">
        <v>7100</v>
      </c>
      <c r="E91" s="4">
        <v>266503771.7435315</v>
      </c>
      <c r="F91" s="4">
        <v>0</v>
      </c>
      <c r="G91" s="4">
        <v>0</v>
      </c>
      <c r="H91" s="4">
        <f t="shared" si="24"/>
        <v>266503771.7435315</v>
      </c>
      <c r="I91" s="4">
        <f t="shared" si="25"/>
        <v>37535.742499088941</v>
      </c>
      <c r="J91" s="4">
        <v>7005.9</v>
      </c>
      <c r="K91" s="5">
        <f t="shared" si="26"/>
        <v>7005.9</v>
      </c>
      <c r="L91" s="4">
        <v>33300</v>
      </c>
      <c r="M91" s="4">
        <f t="shared" si="22"/>
        <v>236828583.36916429</v>
      </c>
      <c r="N91" s="4">
        <f t="shared" si="27"/>
        <v>-29675188.374367211</v>
      </c>
      <c r="O91" s="4">
        <f t="shared" si="28"/>
        <v>0</v>
      </c>
      <c r="P91" s="4">
        <f t="shared" si="29"/>
        <v>-29675188.374367211</v>
      </c>
      <c r="T91" s="4">
        <f t="shared" si="30"/>
        <v>37535.742499088941</v>
      </c>
      <c r="U91" s="4">
        <f t="shared" si="31"/>
        <v>-29675188.374367211</v>
      </c>
      <c r="V91" s="4">
        <f t="shared" si="32"/>
        <v>0</v>
      </c>
      <c r="W91" s="4">
        <f t="shared" si="33"/>
        <v>-29675188.374367211</v>
      </c>
      <c r="X91" s="5">
        <f t="shared" si="34"/>
        <v>236828583.36916429</v>
      </c>
      <c r="Y91" s="5">
        <f t="shared" si="35"/>
        <v>0</v>
      </c>
      <c r="Z91" s="5">
        <f t="shared" si="35"/>
        <v>0</v>
      </c>
      <c r="AB91" s="5">
        <f t="shared" si="23"/>
        <v>94.100000000000364</v>
      </c>
      <c r="AC91" s="4">
        <f t="shared" si="36"/>
        <v>3532113.3691642829</v>
      </c>
      <c r="AD91" s="4">
        <f t="shared" si="37"/>
        <v>3133530.0000000121</v>
      </c>
      <c r="AE91" s="5">
        <f t="shared" si="38"/>
        <v>398583.36916427081</v>
      </c>
      <c r="AF91" s="3" t="str">
        <f t="shared" si="39"/>
        <v>Y</v>
      </c>
      <c r="AH91" s="4">
        <f t="shared" si="40"/>
        <v>262971658.37436721</v>
      </c>
      <c r="AI91" s="4">
        <f t="shared" si="41"/>
        <v>233296470</v>
      </c>
    </row>
    <row r="92" spans="1:35">
      <c r="A92" s="3">
        <v>90</v>
      </c>
      <c r="B92" s="3" t="s">
        <v>757</v>
      </c>
      <c r="C92" s="3" t="s">
        <v>667</v>
      </c>
      <c r="D92" s="4">
        <v>700</v>
      </c>
      <c r="E92" s="4">
        <v>12169742.365633592</v>
      </c>
      <c r="F92" s="4">
        <v>0</v>
      </c>
      <c r="G92" s="4">
        <v>0</v>
      </c>
      <c r="H92" s="4">
        <f t="shared" si="24"/>
        <v>12169742.365633592</v>
      </c>
      <c r="I92" s="4">
        <f t="shared" si="25"/>
        <v>17385.346236619418</v>
      </c>
      <c r="J92" s="4">
        <v>675.3</v>
      </c>
      <c r="K92" s="5">
        <f t="shared" si="26"/>
        <v>675.3</v>
      </c>
      <c r="L92" s="4">
        <v>31600</v>
      </c>
      <c r="M92" s="4">
        <f t="shared" si="22"/>
        <v>21768898.052044496</v>
      </c>
      <c r="N92" s="4">
        <f t="shared" si="27"/>
        <v>9599155.6864109058</v>
      </c>
      <c r="O92" s="4">
        <f t="shared" si="28"/>
        <v>9599155.6864109058</v>
      </c>
      <c r="P92" s="4">
        <f t="shared" si="29"/>
        <v>0</v>
      </c>
      <c r="T92" s="4">
        <f t="shared" si="30"/>
        <v>17385.346236619418</v>
      </c>
      <c r="U92" s="4">
        <f t="shared" si="31"/>
        <v>9599155.6864109058</v>
      </c>
      <c r="V92" s="4">
        <f t="shared" si="32"/>
        <v>9599155.6864109058</v>
      </c>
      <c r="W92" s="4">
        <f t="shared" si="33"/>
        <v>0</v>
      </c>
      <c r="X92" s="5">
        <f t="shared" si="34"/>
        <v>21768898.052044496</v>
      </c>
      <c r="Y92" s="5">
        <f t="shared" si="35"/>
        <v>0</v>
      </c>
      <c r="Z92" s="5">
        <f t="shared" si="35"/>
        <v>0</v>
      </c>
      <c r="AB92" s="5">
        <f t="shared" si="23"/>
        <v>24.700000000000045</v>
      </c>
      <c r="AC92" s="4">
        <f t="shared" si="36"/>
        <v>429418.05204450042</v>
      </c>
      <c r="AD92" s="4">
        <f t="shared" si="37"/>
        <v>780520.0000000014</v>
      </c>
      <c r="AE92" s="5">
        <f t="shared" si="38"/>
        <v>-351101.94795550097</v>
      </c>
      <c r="AF92" s="3" t="str">
        <f t="shared" si="39"/>
        <v>N</v>
      </c>
      <c r="AH92" s="4">
        <f t="shared" si="40"/>
        <v>11740324.313589092</v>
      </c>
      <c r="AI92" s="4">
        <f t="shared" si="41"/>
        <v>21339480</v>
      </c>
    </row>
    <row r="93" spans="1:35">
      <c r="A93" s="3">
        <v>91</v>
      </c>
      <c r="B93" s="3" t="s">
        <v>758</v>
      </c>
      <c r="C93" s="3" t="s">
        <v>667</v>
      </c>
      <c r="D93" s="4">
        <v>10700</v>
      </c>
      <c r="E93" s="4">
        <v>243002951.71540156</v>
      </c>
      <c r="F93" s="4">
        <v>0</v>
      </c>
      <c r="G93" s="4">
        <v>0</v>
      </c>
      <c r="H93" s="4">
        <f t="shared" si="24"/>
        <v>243002951.71540156</v>
      </c>
      <c r="I93" s="4">
        <f t="shared" si="25"/>
        <v>22710.556235084259</v>
      </c>
      <c r="J93" s="4">
        <v>10674.1</v>
      </c>
      <c r="K93" s="5">
        <f t="shared" si="26"/>
        <v>10674.1</v>
      </c>
      <c r="L93" s="4">
        <v>15150</v>
      </c>
      <c r="M93" s="4">
        <f t="shared" si="22"/>
        <v>162300818.40648866</v>
      </c>
      <c r="N93" s="4">
        <f t="shared" si="27"/>
        <v>-80702133.308912888</v>
      </c>
      <c r="O93" s="4">
        <f t="shared" si="28"/>
        <v>0</v>
      </c>
      <c r="P93" s="4">
        <f t="shared" si="29"/>
        <v>-80702133.308912888</v>
      </c>
      <c r="T93" s="4">
        <f t="shared" si="30"/>
        <v>22710.556235084259</v>
      </c>
      <c r="U93" s="4">
        <f t="shared" si="31"/>
        <v>-80702133.308912888</v>
      </c>
      <c r="V93" s="4">
        <f t="shared" si="32"/>
        <v>0</v>
      </c>
      <c r="W93" s="4">
        <f t="shared" si="33"/>
        <v>-80702133.308912888</v>
      </c>
      <c r="X93" s="5">
        <f t="shared" si="34"/>
        <v>162300818.40648866</v>
      </c>
      <c r="Y93" s="5">
        <f t="shared" si="35"/>
        <v>0</v>
      </c>
      <c r="Z93" s="5">
        <f t="shared" si="35"/>
        <v>0</v>
      </c>
      <c r="AB93" s="5">
        <f t="shared" si="23"/>
        <v>25.899999999999636</v>
      </c>
      <c r="AC93" s="4">
        <f t="shared" si="36"/>
        <v>588203.40648867399</v>
      </c>
      <c r="AD93" s="4">
        <f t="shared" si="37"/>
        <v>392384.99999999447</v>
      </c>
      <c r="AE93" s="5">
        <f t="shared" si="38"/>
        <v>195818.40648867952</v>
      </c>
      <c r="AF93" s="3" t="str">
        <f t="shared" si="39"/>
        <v>Y</v>
      </c>
      <c r="AH93" s="4">
        <f t="shared" si="40"/>
        <v>242414748.3089129</v>
      </c>
      <c r="AI93" s="4">
        <f t="shared" si="41"/>
        <v>161712615</v>
      </c>
    </row>
    <row r="94" spans="1:35">
      <c r="A94" s="3">
        <v>92</v>
      </c>
      <c r="B94" s="3" t="s">
        <v>759</v>
      </c>
      <c r="C94" s="3" t="s">
        <v>667</v>
      </c>
      <c r="D94" s="4">
        <v>4100</v>
      </c>
      <c r="E94" s="4">
        <v>107196729.61886416</v>
      </c>
      <c r="F94" s="4">
        <v>0</v>
      </c>
      <c r="G94" s="4">
        <v>0</v>
      </c>
      <c r="H94" s="4">
        <f t="shared" si="24"/>
        <v>107196729.61886416</v>
      </c>
      <c r="I94" s="4">
        <f t="shared" si="25"/>
        <v>26145.543809479066</v>
      </c>
      <c r="J94" s="4">
        <v>4096.8</v>
      </c>
      <c r="K94" s="5">
        <f t="shared" si="26"/>
        <v>4096.8</v>
      </c>
      <c r="L94" s="4">
        <v>26500</v>
      </c>
      <c r="M94" s="4">
        <f t="shared" si="22"/>
        <v>108648865.74019033</v>
      </c>
      <c r="N94" s="4">
        <f t="shared" si="27"/>
        <v>1452136.121326162</v>
      </c>
      <c r="O94" s="4">
        <f t="shared" si="28"/>
        <v>1452136.121326162</v>
      </c>
      <c r="P94" s="4">
        <f t="shared" si="29"/>
        <v>0</v>
      </c>
      <c r="T94" s="4">
        <f t="shared" si="30"/>
        <v>26145.543809479066</v>
      </c>
      <c r="U94" s="4">
        <f t="shared" si="31"/>
        <v>1452136.121326162</v>
      </c>
      <c r="V94" s="4">
        <f t="shared" si="32"/>
        <v>1452136.121326162</v>
      </c>
      <c r="W94" s="4">
        <f t="shared" si="33"/>
        <v>0</v>
      </c>
      <c r="X94" s="5">
        <f t="shared" si="34"/>
        <v>108648865.74019033</v>
      </c>
      <c r="Y94" s="5">
        <f t="shared" si="35"/>
        <v>0</v>
      </c>
      <c r="Z94" s="5">
        <f t="shared" si="35"/>
        <v>0</v>
      </c>
      <c r="AB94" s="5">
        <f t="shared" si="23"/>
        <v>3.1999999999998181</v>
      </c>
      <c r="AC94" s="4">
        <f t="shared" si="36"/>
        <v>83665.740190328259</v>
      </c>
      <c r="AD94" s="4">
        <f t="shared" si="37"/>
        <v>84799.999999995183</v>
      </c>
      <c r="AE94" s="5">
        <f t="shared" si="38"/>
        <v>-1134.2598096669244</v>
      </c>
      <c r="AF94" s="3" t="str">
        <f t="shared" si="39"/>
        <v>N</v>
      </c>
      <c r="AH94" s="4">
        <f t="shared" si="40"/>
        <v>107113063.87867384</v>
      </c>
      <c r="AI94" s="4">
        <f t="shared" si="41"/>
        <v>108565200</v>
      </c>
    </row>
    <row r="95" spans="1:35">
      <c r="A95" s="3">
        <v>93</v>
      </c>
      <c r="B95" s="3" t="s">
        <v>760</v>
      </c>
      <c r="C95" s="3" t="s">
        <v>667</v>
      </c>
      <c r="D95" s="4">
        <v>15100</v>
      </c>
      <c r="E95" s="4">
        <v>77874091.360784113</v>
      </c>
      <c r="F95" s="4">
        <v>0</v>
      </c>
      <c r="G95" s="4">
        <v>0</v>
      </c>
      <c r="H95" s="4">
        <f t="shared" si="24"/>
        <v>77874091.360784113</v>
      </c>
      <c r="I95" s="4">
        <f t="shared" si="25"/>
        <v>5157.2245934294115</v>
      </c>
      <c r="J95" s="4">
        <v>15022.1</v>
      </c>
      <c r="K95" s="5">
        <f t="shared" si="26"/>
        <v>15022.1</v>
      </c>
      <c r="L95" s="4">
        <v>5030</v>
      </c>
      <c r="M95" s="4">
        <f t="shared" si="22"/>
        <v>75962910.795828149</v>
      </c>
      <c r="N95" s="4">
        <f t="shared" si="27"/>
        <v>-1911180.5649559621</v>
      </c>
      <c r="O95" s="4">
        <f t="shared" si="28"/>
        <v>0</v>
      </c>
      <c r="P95" s="4">
        <f t="shared" si="29"/>
        <v>-1911180.5649559621</v>
      </c>
      <c r="T95" s="4">
        <f t="shared" si="30"/>
        <v>5157.2245934294115</v>
      </c>
      <c r="U95" s="4">
        <f t="shared" si="31"/>
        <v>-1911180.5649559621</v>
      </c>
      <c r="V95" s="4">
        <f t="shared" si="32"/>
        <v>0</v>
      </c>
      <c r="W95" s="4">
        <f t="shared" si="33"/>
        <v>-1911180.5649559621</v>
      </c>
      <c r="X95" s="5">
        <f t="shared" si="34"/>
        <v>75962910.795828149</v>
      </c>
      <c r="Y95" s="5">
        <f t="shared" si="35"/>
        <v>0</v>
      </c>
      <c r="Z95" s="5">
        <f t="shared" si="35"/>
        <v>0</v>
      </c>
      <c r="AB95" s="5">
        <f t="shared" si="23"/>
        <v>77.899999999999636</v>
      </c>
      <c r="AC95" s="4">
        <f t="shared" si="36"/>
        <v>401747.7958281493</v>
      </c>
      <c r="AD95" s="4">
        <f t="shared" si="37"/>
        <v>391836.9999999982</v>
      </c>
      <c r="AE95" s="5">
        <f t="shared" si="38"/>
        <v>9910.7958281511092</v>
      </c>
      <c r="AF95" s="3" t="str">
        <f t="shared" si="39"/>
        <v>Y</v>
      </c>
      <c r="AH95" s="4">
        <f t="shared" si="40"/>
        <v>77472343.564955965</v>
      </c>
      <c r="AI95" s="4">
        <f t="shared" si="41"/>
        <v>75561163</v>
      </c>
    </row>
    <row r="96" spans="1:35">
      <c r="A96" s="3">
        <v>94</v>
      </c>
      <c r="B96" s="3" t="s">
        <v>761</v>
      </c>
      <c r="C96" s="3" t="s">
        <v>667</v>
      </c>
      <c r="D96" s="4">
        <v>500</v>
      </c>
      <c r="E96" s="4">
        <v>26987166.244153135</v>
      </c>
      <c r="F96" s="4">
        <v>0</v>
      </c>
      <c r="G96" s="4">
        <v>0</v>
      </c>
      <c r="H96" s="4">
        <f t="shared" si="24"/>
        <v>26987166.244153135</v>
      </c>
      <c r="I96" s="4">
        <f t="shared" si="25"/>
        <v>53974.332488306267</v>
      </c>
      <c r="J96" s="4">
        <v>373</v>
      </c>
      <c r="K96" s="5">
        <f t="shared" si="26"/>
        <v>373</v>
      </c>
      <c r="L96" s="4">
        <v>54800</v>
      </c>
      <c r="M96" s="4">
        <f t="shared" si="22"/>
        <v>27295140.226014897</v>
      </c>
      <c r="N96" s="4">
        <f t="shared" si="27"/>
        <v>307973.98186176247</v>
      </c>
      <c r="O96" s="4">
        <f t="shared" si="28"/>
        <v>307973.98186176247</v>
      </c>
      <c r="P96" s="4">
        <f t="shared" si="29"/>
        <v>0</v>
      </c>
      <c r="T96" s="4">
        <f t="shared" si="30"/>
        <v>53974.332488306267</v>
      </c>
      <c r="U96" s="4">
        <f t="shared" si="31"/>
        <v>307973.98186176247</v>
      </c>
      <c r="V96" s="4">
        <f t="shared" si="32"/>
        <v>307973.98186176247</v>
      </c>
      <c r="W96" s="4">
        <f t="shared" si="33"/>
        <v>0</v>
      </c>
      <c r="X96" s="5">
        <f t="shared" si="34"/>
        <v>27295140.226014897</v>
      </c>
      <c r="Y96" s="5">
        <f t="shared" si="35"/>
        <v>0</v>
      </c>
      <c r="Z96" s="5">
        <f t="shared" si="35"/>
        <v>0</v>
      </c>
      <c r="AB96" s="5">
        <f t="shared" si="23"/>
        <v>127</v>
      </c>
      <c r="AC96" s="4">
        <f t="shared" si="36"/>
        <v>6854740.2260148963</v>
      </c>
      <c r="AD96" s="4">
        <f t="shared" si="37"/>
        <v>6959600</v>
      </c>
      <c r="AE96" s="5">
        <f t="shared" si="38"/>
        <v>-104859.7739851037</v>
      </c>
      <c r="AF96" s="3" t="str">
        <f t="shared" si="39"/>
        <v>N</v>
      </c>
      <c r="AH96" s="4">
        <f t="shared" si="40"/>
        <v>20132426.018138237</v>
      </c>
      <c r="AI96" s="4">
        <f t="shared" si="41"/>
        <v>20440400</v>
      </c>
    </row>
    <row r="97" spans="1:35">
      <c r="A97" s="3">
        <v>95</v>
      </c>
      <c r="B97" s="3" t="s">
        <v>762</v>
      </c>
      <c r="C97" s="3" t="s">
        <v>667</v>
      </c>
      <c r="D97" s="4">
        <v>1000</v>
      </c>
      <c r="E97" s="4">
        <v>5444325.3448397499</v>
      </c>
      <c r="F97" s="4">
        <v>0</v>
      </c>
      <c r="G97" s="4">
        <v>0</v>
      </c>
      <c r="H97" s="4">
        <f t="shared" si="24"/>
        <v>5444325.3448397499</v>
      </c>
      <c r="I97" s="4">
        <f t="shared" si="25"/>
        <v>5444.32534483975</v>
      </c>
      <c r="J97" s="4">
        <v>935.2</v>
      </c>
      <c r="K97" s="5">
        <f t="shared" si="26"/>
        <v>935.2</v>
      </c>
      <c r="L97" s="4">
        <v>5400</v>
      </c>
      <c r="M97" s="4">
        <f t="shared" si="22"/>
        <v>5402872.2823456153</v>
      </c>
      <c r="N97" s="4">
        <f t="shared" si="27"/>
        <v>-41453.062494134167</v>
      </c>
      <c r="O97" s="4">
        <f t="shared" si="28"/>
        <v>0</v>
      </c>
      <c r="P97" s="4">
        <f t="shared" si="29"/>
        <v>-41453.062494134167</v>
      </c>
      <c r="T97" s="4">
        <f t="shared" si="30"/>
        <v>5444.32534483975</v>
      </c>
      <c r="U97" s="4">
        <f t="shared" si="31"/>
        <v>-41453.062494134167</v>
      </c>
      <c r="V97" s="4">
        <f t="shared" si="32"/>
        <v>0</v>
      </c>
      <c r="W97" s="4">
        <f t="shared" si="33"/>
        <v>-41453.062494134167</v>
      </c>
      <c r="X97" s="5">
        <f t="shared" si="34"/>
        <v>5402872.2823456153</v>
      </c>
      <c r="Y97" s="5">
        <f t="shared" si="35"/>
        <v>0</v>
      </c>
      <c r="Z97" s="5">
        <f t="shared" si="35"/>
        <v>0</v>
      </c>
      <c r="AB97" s="5">
        <f t="shared" si="23"/>
        <v>64.799999999999955</v>
      </c>
      <c r="AC97" s="4">
        <f t="shared" si="36"/>
        <v>352792.28234561556</v>
      </c>
      <c r="AD97" s="4">
        <f t="shared" si="37"/>
        <v>349919.99999999977</v>
      </c>
      <c r="AE97" s="5">
        <f t="shared" si="38"/>
        <v>2872.282345615793</v>
      </c>
      <c r="AF97" s="3" t="str">
        <f t="shared" si="39"/>
        <v>Y</v>
      </c>
      <c r="AH97" s="4">
        <f t="shared" si="40"/>
        <v>5091533.0624941345</v>
      </c>
      <c r="AI97" s="4">
        <f t="shared" si="41"/>
        <v>5050080</v>
      </c>
    </row>
    <row r="98" spans="1:35">
      <c r="A98" s="3">
        <v>96</v>
      </c>
      <c r="B98" s="3" t="s">
        <v>763</v>
      </c>
      <c r="C98" s="3" t="s">
        <v>667</v>
      </c>
      <c r="D98" s="4">
        <v>15916</v>
      </c>
      <c r="E98" s="4">
        <v>205023681.34573069</v>
      </c>
      <c r="F98" s="4">
        <v>27792000</v>
      </c>
      <c r="G98" s="4">
        <v>0</v>
      </c>
      <c r="H98" s="4">
        <f t="shared" si="24"/>
        <v>232815681.34573069</v>
      </c>
      <c r="I98" s="4">
        <f t="shared" si="25"/>
        <v>12881.608528884813</v>
      </c>
      <c r="J98" s="4">
        <v>16163.7</v>
      </c>
      <c r="K98" s="5">
        <f t="shared" si="26"/>
        <v>15916</v>
      </c>
      <c r="L98" s="4">
        <v>19350</v>
      </c>
      <c r="M98" s="4">
        <f t="shared" si="22"/>
        <v>307974600</v>
      </c>
      <c r="N98" s="4">
        <f t="shared" si="27"/>
        <v>102950918.65426931</v>
      </c>
      <c r="O98" s="4">
        <f t="shared" si="28"/>
        <v>102950918.65426931</v>
      </c>
      <c r="P98" s="4">
        <f t="shared" si="29"/>
        <v>0</v>
      </c>
      <c r="T98" s="4">
        <f t="shared" si="30"/>
        <v>14627.775907623191</v>
      </c>
      <c r="U98" s="4">
        <f t="shared" si="31"/>
        <v>75158918.654269293</v>
      </c>
      <c r="V98" s="4">
        <f t="shared" si="32"/>
        <v>75158918.654269293</v>
      </c>
      <c r="W98" s="4">
        <f t="shared" si="33"/>
        <v>0</v>
      </c>
      <c r="X98" s="5">
        <f t="shared" si="34"/>
        <v>307974600</v>
      </c>
      <c r="Y98" s="5">
        <f t="shared" si="35"/>
        <v>27792000.000000015</v>
      </c>
      <c r="Z98" s="5">
        <f t="shared" si="35"/>
        <v>0</v>
      </c>
      <c r="AB98" s="5">
        <f t="shared" si="23"/>
        <v>-247.70000000000073</v>
      </c>
      <c r="AC98" s="4">
        <f t="shared" si="36"/>
        <v>-3623300.092318275</v>
      </c>
      <c r="AD98" s="4">
        <f t="shared" si="37"/>
        <v>-4792995.000000014</v>
      </c>
      <c r="AE98" s="5">
        <f t="shared" si="38"/>
        <v>0</v>
      </c>
      <c r="AF98" s="3" t="str">
        <f t="shared" si="39"/>
        <v>N</v>
      </c>
      <c r="AH98" s="4">
        <f t="shared" si="40"/>
        <v>232815681.34573069</v>
      </c>
      <c r="AI98" s="4">
        <f t="shared" si="41"/>
        <v>307974600</v>
      </c>
    </row>
    <row r="99" spans="1:35">
      <c r="A99" s="3">
        <v>97</v>
      </c>
      <c r="B99" s="3" t="s">
        <v>764</v>
      </c>
      <c r="C99" s="3" t="s">
        <v>667</v>
      </c>
      <c r="D99" s="4">
        <v>5573</v>
      </c>
      <c r="E99" s="4">
        <v>26029166.031952642</v>
      </c>
      <c r="F99" s="4">
        <v>0</v>
      </c>
      <c r="G99" s="4">
        <v>0</v>
      </c>
      <c r="H99" s="4">
        <f t="shared" si="24"/>
        <v>26029166.031952642</v>
      </c>
      <c r="I99" s="4">
        <f t="shared" si="25"/>
        <v>4670.5842512026993</v>
      </c>
      <c r="J99" s="4">
        <v>5480.7</v>
      </c>
      <c r="K99" s="5">
        <f t="shared" si="26"/>
        <v>5480.7</v>
      </c>
      <c r="L99" s="4">
        <v>7500</v>
      </c>
      <c r="M99" s="4">
        <f t="shared" si="22"/>
        <v>41536344.926386006</v>
      </c>
      <c r="N99" s="4">
        <f t="shared" si="27"/>
        <v>15507178.894433366</v>
      </c>
      <c r="O99" s="4">
        <f t="shared" si="28"/>
        <v>15507178.894433366</v>
      </c>
      <c r="P99" s="4">
        <f t="shared" si="29"/>
        <v>0</v>
      </c>
      <c r="T99" s="4">
        <f t="shared" si="30"/>
        <v>4670.5842512026993</v>
      </c>
      <c r="U99" s="4">
        <f t="shared" si="31"/>
        <v>15507178.894433366</v>
      </c>
      <c r="V99" s="4">
        <f t="shared" si="32"/>
        <v>15507178.894433366</v>
      </c>
      <c r="W99" s="4">
        <f t="shared" si="33"/>
        <v>0</v>
      </c>
      <c r="X99" s="5">
        <f t="shared" si="34"/>
        <v>41536344.926386006</v>
      </c>
      <c r="Y99" s="5">
        <f t="shared" si="35"/>
        <v>0</v>
      </c>
      <c r="Z99" s="5">
        <f t="shared" si="35"/>
        <v>0</v>
      </c>
      <c r="AB99" s="5">
        <f t="shared" si="23"/>
        <v>92.300000000000182</v>
      </c>
      <c r="AC99" s="4">
        <f t="shared" si="36"/>
        <v>431094.92638601002</v>
      </c>
      <c r="AD99" s="4">
        <f t="shared" si="37"/>
        <v>692250.0000000014</v>
      </c>
      <c r="AE99" s="5">
        <f t="shared" si="38"/>
        <v>-261155.07361399138</v>
      </c>
      <c r="AF99" s="3" t="str">
        <f t="shared" si="39"/>
        <v>N</v>
      </c>
      <c r="AH99" s="4">
        <f t="shared" si="40"/>
        <v>25598071.105566632</v>
      </c>
      <c r="AI99" s="4">
        <f t="shared" si="41"/>
        <v>41105250</v>
      </c>
    </row>
    <row r="100" spans="1:35">
      <c r="A100" s="3">
        <v>98</v>
      </c>
      <c r="B100" s="3" t="s">
        <v>765</v>
      </c>
      <c r="C100" s="3" t="s">
        <v>667</v>
      </c>
      <c r="D100" s="4">
        <v>18900</v>
      </c>
      <c r="E100" s="4">
        <v>90154217.146858513</v>
      </c>
      <c r="F100" s="4">
        <v>0</v>
      </c>
      <c r="G100" s="4">
        <v>0</v>
      </c>
      <c r="H100" s="4">
        <f t="shared" si="24"/>
        <v>90154217.146858513</v>
      </c>
      <c r="I100" s="4">
        <f t="shared" si="25"/>
        <v>4770.0643993046833</v>
      </c>
      <c r="J100" s="4">
        <v>18836.5</v>
      </c>
      <c r="K100" s="5">
        <f t="shared" si="26"/>
        <v>18836.5</v>
      </c>
      <c r="L100" s="4">
        <v>3840</v>
      </c>
      <c r="M100" s="4">
        <f t="shared" si="22"/>
        <v>72635059.089355841</v>
      </c>
      <c r="N100" s="4">
        <f t="shared" si="27"/>
        <v>-17519158.057502668</v>
      </c>
      <c r="O100" s="4">
        <f t="shared" si="28"/>
        <v>0</v>
      </c>
      <c r="P100" s="4">
        <f t="shared" si="29"/>
        <v>-17519158.057502668</v>
      </c>
      <c r="T100" s="4">
        <f t="shared" si="30"/>
        <v>4770.0643993046833</v>
      </c>
      <c r="U100" s="4">
        <f t="shared" si="31"/>
        <v>-17519158.057502668</v>
      </c>
      <c r="V100" s="4">
        <f t="shared" si="32"/>
        <v>0</v>
      </c>
      <c r="W100" s="4">
        <f t="shared" si="33"/>
        <v>-17519158.057502668</v>
      </c>
      <c r="X100" s="5">
        <f t="shared" si="34"/>
        <v>72635059.089355841</v>
      </c>
      <c r="Y100" s="5">
        <f t="shared" si="35"/>
        <v>0</v>
      </c>
      <c r="Z100" s="5">
        <f t="shared" si="35"/>
        <v>0</v>
      </c>
      <c r="AB100" s="5">
        <f t="shared" si="23"/>
        <v>63.5</v>
      </c>
      <c r="AC100" s="4">
        <f t="shared" si="36"/>
        <v>302899.08935584739</v>
      </c>
      <c r="AD100" s="4">
        <f t="shared" si="37"/>
        <v>243840</v>
      </c>
      <c r="AE100" s="5">
        <f t="shared" si="38"/>
        <v>59059.089355847391</v>
      </c>
      <c r="AF100" s="3" t="str">
        <f t="shared" si="39"/>
        <v>Y</v>
      </c>
      <c r="AH100" s="4">
        <f t="shared" si="40"/>
        <v>89851318.057502672</v>
      </c>
      <c r="AI100" s="4">
        <f t="shared" si="41"/>
        <v>72332160</v>
      </c>
    </row>
    <row r="101" spans="1:35">
      <c r="A101" s="3">
        <v>99</v>
      </c>
      <c r="B101" s="3" t="s">
        <v>766</v>
      </c>
      <c r="C101" s="3" t="s">
        <v>667</v>
      </c>
      <c r="D101" s="4">
        <v>8573</v>
      </c>
      <c r="E101" s="4">
        <v>139124283.05459076</v>
      </c>
      <c r="F101" s="4">
        <v>0</v>
      </c>
      <c r="G101" s="4">
        <v>0</v>
      </c>
      <c r="H101" s="4">
        <f t="shared" si="24"/>
        <v>139124283.05459076</v>
      </c>
      <c r="I101" s="4">
        <f t="shared" si="25"/>
        <v>16228.191187984459</v>
      </c>
      <c r="J101" s="4">
        <v>8480</v>
      </c>
      <c r="K101" s="5">
        <f t="shared" si="26"/>
        <v>8480</v>
      </c>
      <c r="L101" s="4">
        <v>18350</v>
      </c>
      <c r="M101" s="4">
        <f t="shared" si="22"/>
        <v>157117221.78048253</v>
      </c>
      <c r="N101" s="4">
        <f t="shared" si="27"/>
        <v>17992938.725891784</v>
      </c>
      <c r="O101" s="4">
        <f t="shared" si="28"/>
        <v>17992938.725891784</v>
      </c>
      <c r="P101" s="4">
        <f t="shared" si="29"/>
        <v>0</v>
      </c>
      <c r="T101" s="4">
        <f t="shared" si="30"/>
        <v>16228.191187984459</v>
      </c>
      <c r="U101" s="4">
        <f t="shared" si="31"/>
        <v>17992938.725891784</v>
      </c>
      <c r="V101" s="4">
        <f t="shared" si="32"/>
        <v>17992938.725891784</v>
      </c>
      <c r="W101" s="4">
        <f t="shared" si="33"/>
        <v>0</v>
      </c>
      <c r="X101" s="5">
        <f t="shared" si="34"/>
        <v>157117221.78048253</v>
      </c>
      <c r="Y101" s="5">
        <f t="shared" si="35"/>
        <v>0</v>
      </c>
      <c r="Z101" s="5">
        <f t="shared" si="35"/>
        <v>0</v>
      </c>
      <c r="AB101" s="5">
        <f t="shared" si="23"/>
        <v>93</v>
      </c>
      <c r="AC101" s="4">
        <f t="shared" si="36"/>
        <v>1509221.7804825548</v>
      </c>
      <c r="AD101" s="4">
        <f t="shared" si="37"/>
        <v>1706550</v>
      </c>
      <c r="AE101" s="5">
        <f t="shared" si="38"/>
        <v>-197328.21951744519</v>
      </c>
      <c r="AF101" s="3" t="str">
        <f t="shared" si="39"/>
        <v>N</v>
      </c>
      <c r="AH101" s="4">
        <f t="shared" si="40"/>
        <v>137615061.2741082</v>
      </c>
      <c r="AI101" s="4">
        <f t="shared" si="41"/>
        <v>155608000</v>
      </c>
    </row>
    <row r="102" spans="1:35">
      <c r="A102" s="3">
        <v>100</v>
      </c>
      <c r="B102" s="3" t="s">
        <v>767</v>
      </c>
      <c r="C102" s="3" t="s">
        <v>667</v>
      </c>
      <c r="D102" s="4">
        <v>2072</v>
      </c>
      <c r="E102" s="4">
        <v>17802104.129970435</v>
      </c>
      <c r="F102" s="4">
        <v>0</v>
      </c>
      <c r="G102" s="4">
        <v>0</v>
      </c>
      <c r="H102" s="4">
        <f t="shared" si="24"/>
        <v>17802104.129970435</v>
      </c>
      <c r="I102" s="4">
        <f t="shared" si="25"/>
        <v>8591.7490974760785</v>
      </c>
      <c r="J102" s="4">
        <v>1999.8</v>
      </c>
      <c r="K102" s="5">
        <f t="shared" si="26"/>
        <v>1999.8</v>
      </c>
      <c r="L102" s="4">
        <v>20850</v>
      </c>
      <c r="M102" s="4">
        <f t="shared" si="22"/>
        <v>42316154.284837767</v>
      </c>
      <c r="N102" s="4">
        <f t="shared" si="27"/>
        <v>24514050.154867336</v>
      </c>
      <c r="O102" s="4">
        <f t="shared" si="28"/>
        <v>24514050.154867336</v>
      </c>
      <c r="P102" s="4">
        <f t="shared" si="29"/>
        <v>0</v>
      </c>
      <c r="T102" s="4">
        <f t="shared" si="30"/>
        <v>8591.7490974760785</v>
      </c>
      <c r="U102" s="4">
        <f t="shared" si="31"/>
        <v>24514050.154867336</v>
      </c>
      <c r="V102" s="4">
        <f t="shared" si="32"/>
        <v>24514050.154867336</v>
      </c>
      <c r="W102" s="4">
        <f t="shared" si="33"/>
        <v>0</v>
      </c>
      <c r="X102" s="5">
        <f t="shared" si="34"/>
        <v>42316154.284837767</v>
      </c>
      <c r="Y102" s="5">
        <f t="shared" si="35"/>
        <v>0</v>
      </c>
      <c r="Z102" s="5">
        <f t="shared" si="35"/>
        <v>0</v>
      </c>
      <c r="AB102" s="5">
        <f t="shared" si="23"/>
        <v>72.200000000000045</v>
      </c>
      <c r="AC102" s="4">
        <f t="shared" si="36"/>
        <v>620324.2848377733</v>
      </c>
      <c r="AD102" s="4">
        <f t="shared" si="37"/>
        <v>1505370.0000000009</v>
      </c>
      <c r="AE102" s="5">
        <f t="shared" si="38"/>
        <v>-885045.71516222763</v>
      </c>
      <c r="AF102" s="3" t="str">
        <f t="shared" si="39"/>
        <v>N</v>
      </c>
      <c r="AH102" s="4">
        <f t="shared" si="40"/>
        <v>17181779.84513266</v>
      </c>
      <c r="AI102" s="4">
        <f t="shared" si="41"/>
        <v>41695830</v>
      </c>
    </row>
    <row r="103" spans="1:35">
      <c r="A103" s="3">
        <v>101</v>
      </c>
      <c r="B103" s="3" t="s">
        <v>768</v>
      </c>
      <c r="C103" s="3" t="s">
        <v>667</v>
      </c>
      <c r="D103" s="4">
        <v>1000</v>
      </c>
      <c r="E103" s="4">
        <v>25195474.366239887</v>
      </c>
      <c r="F103" s="4">
        <v>0</v>
      </c>
      <c r="G103" s="4">
        <v>0</v>
      </c>
      <c r="H103" s="4">
        <f t="shared" si="24"/>
        <v>25195474.366239887</v>
      </c>
      <c r="I103" s="4">
        <f t="shared" si="25"/>
        <v>25195.474366239887</v>
      </c>
      <c r="J103" s="4">
        <v>840</v>
      </c>
      <c r="K103" s="5">
        <f t="shared" si="26"/>
        <v>840</v>
      </c>
      <c r="L103" s="4">
        <v>25195.474366239887</v>
      </c>
      <c r="M103" s="4">
        <f t="shared" si="22"/>
        <v>25195474.366239887</v>
      </c>
      <c r="N103" s="4">
        <f t="shared" si="27"/>
        <v>0</v>
      </c>
      <c r="O103" s="4">
        <f t="shared" si="28"/>
        <v>0</v>
      </c>
      <c r="P103" s="4">
        <f t="shared" si="29"/>
        <v>0</v>
      </c>
      <c r="Q103" s="3" t="s">
        <v>715</v>
      </c>
      <c r="T103" s="4">
        <f t="shared" si="30"/>
        <v>25195.474366239887</v>
      </c>
      <c r="U103" s="4">
        <f t="shared" si="31"/>
        <v>0</v>
      </c>
      <c r="V103" s="4">
        <f t="shared" si="32"/>
        <v>0</v>
      </c>
      <c r="W103" s="4">
        <f t="shared" si="33"/>
        <v>0</v>
      </c>
      <c r="X103" s="5">
        <f t="shared" si="34"/>
        <v>25195474.366239887</v>
      </c>
      <c r="Y103" s="5">
        <f t="shared" si="35"/>
        <v>0</v>
      </c>
      <c r="Z103" s="5">
        <f t="shared" si="35"/>
        <v>0</v>
      </c>
      <c r="AB103" s="5">
        <f t="shared" si="23"/>
        <v>160</v>
      </c>
      <c r="AC103" s="4">
        <f t="shared" si="36"/>
        <v>4031275.8985983818</v>
      </c>
      <c r="AD103" s="4">
        <f t="shared" si="37"/>
        <v>4031275.8985983818</v>
      </c>
      <c r="AE103" s="5">
        <f t="shared" si="38"/>
        <v>0</v>
      </c>
      <c r="AF103" s="3" t="str">
        <f t="shared" si="39"/>
        <v>N</v>
      </c>
      <c r="AH103" s="4">
        <f t="shared" si="40"/>
        <v>21164198.467641506</v>
      </c>
      <c r="AI103" s="4">
        <f t="shared" si="41"/>
        <v>21164198.467641506</v>
      </c>
    </row>
    <row r="104" spans="1:35">
      <c r="A104" s="3">
        <v>102</v>
      </c>
      <c r="B104" s="3" t="s">
        <v>769</v>
      </c>
      <c r="C104" s="3" t="s">
        <v>667</v>
      </c>
      <c r="D104" s="4">
        <v>156</v>
      </c>
      <c r="E104" s="4">
        <v>2281379.7849992262</v>
      </c>
      <c r="F104" s="4">
        <v>0</v>
      </c>
      <c r="G104" s="4">
        <v>0</v>
      </c>
      <c r="H104" s="4">
        <f t="shared" si="24"/>
        <v>2281379.7849992262</v>
      </c>
      <c r="I104" s="4">
        <f t="shared" si="25"/>
        <v>14624.229391020681</v>
      </c>
      <c r="J104" s="4">
        <v>95.3</v>
      </c>
      <c r="K104" s="5">
        <f t="shared" si="26"/>
        <v>95.3</v>
      </c>
      <c r="L104" s="4">
        <v>15150</v>
      </c>
      <c r="M104" s="4">
        <f t="shared" si="22"/>
        <v>2331485.7240349553</v>
      </c>
      <c r="N104" s="4">
        <f t="shared" si="27"/>
        <v>50105.939035729112</v>
      </c>
      <c r="O104" s="4">
        <f t="shared" si="28"/>
        <v>50105.939035729112</v>
      </c>
      <c r="P104" s="4">
        <f t="shared" si="29"/>
        <v>0</v>
      </c>
      <c r="T104" s="4">
        <f t="shared" si="30"/>
        <v>14624.229391020681</v>
      </c>
      <c r="U104" s="4">
        <f t="shared" si="31"/>
        <v>50105.939035729112</v>
      </c>
      <c r="V104" s="4">
        <f t="shared" si="32"/>
        <v>50105.939035729112</v>
      </c>
      <c r="W104" s="4">
        <f t="shared" si="33"/>
        <v>0</v>
      </c>
      <c r="X104" s="5">
        <f t="shared" si="34"/>
        <v>2331485.7240349553</v>
      </c>
      <c r="Y104" s="5">
        <f t="shared" si="35"/>
        <v>0</v>
      </c>
      <c r="Z104" s="5">
        <f t="shared" si="35"/>
        <v>0</v>
      </c>
      <c r="AB104" s="5">
        <f t="shared" si="23"/>
        <v>60.7</v>
      </c>
      <c r="AC104" s="4">
        <f t="shared" si="36"/>
        <v>887690.72403495538</v>
      </c>
      <c r="AD104" s="4">
        <f t="shared" si="37"/>
        <v>919605</v>
      </c>
      <c r="AE104" s="5">
        <f t="shared" si="38"/>
        <v>-31914.275965044624</v>
      </c>
      <c r="AF104" s="3" t="str">
        <f t="shared" si="39"/>
        <v>N</v>
      </c>
      <c r="AH104" s="4">
        <f t="shared" si="40"/>
        <v>1393689.0609642707</v>
      </c>
      <c r="AI104" s="4">
        <f t="shared" si="41"/>
        <v>1443795</v>
      </c>
    </row>
    <row r="105" spans="1:35">
      <c r="A105" s="3">
        <v>103</v>
      </c>
      <c r="B105" s="3" t="s">
        <v>770</v>
      </c>
      <c r="C105" s="3" t="s">
        <v>667</v>
      </c>
      <c r="D105" s="4">
        <v>1308</v>
      </c>
      <c r="E105" s="4">
        <v>10877588.47939758</v>
      </c>
      <c r="F105" s="4">
        <v>2178000</v>
      </c>
      <c r="G105" s="4">
        <v>0</v>
      </c>
      <c r="H105" s="4">
        <f t="shared" si="24"/>
        <v>13055588.47939758</v>
      </c>
      <c r="I105" s="4">
        <f t="shared" si="25"/>
        <v>8316.1991432703217</v>
      </c>
      <c r="J105" s="4">
        <v>1453.9</v>
      </c>
      <c r="K105" s="5">
        <f t="shared" si="26"/>
        <v>1308</v>
      </c>
      <c r="L105" s="4">
        <v>16000</v>
      </c>
      <c r="M105" s="4">
        <f t="shared" si="22"/>
        <v>20928000</v>
      </c>
      <c r="N105" s="4">
        <f t="shared" si="27"/>
        <v>10050411.52060242</v>
      </c>
      <c r="O105" s="4">
        <f t="shared" si="28"/>
        <v>10050411.52060242</v>
      </c>
      <c r="P105" s="4">
        <f t="shared" si="29"/>
        <v>0</v>
      </c>
      <c r="T105" s="4">
        <f t="shared" si="30"/>
        <v>9981.3367579492206</v>
      </c>
      <c r="U105" s="4">
        <f t="shared" si="31"/>
        <v>7872411.52060242</v>
      </c>
      <c r="V105" s="4">
        <f t="shared" si="32"/>
        <v>7872411.52060242</v>
      </c>
      <c r="W105" s="4">
        <f t="shared" si="33"/>
        <v>0</v>
      </c>
      <c r="X105" s="5">
        <f t="shared" si="34"/>
        <v>20928000</v>
      </c>
      <c r="Y105" s="5">
        <f t="shared" si="35"/>
        <v>2178000</v>
      </c>
      <c r="Z105" s="5">
        <f t="shared" si="35"/>
        <v>0</v>
      </c>
      <c r="AB105" s="5">
        <f t="shared" si="23"/>
        <v>-145.90000000000009</v>
      </c>
      <c r="AC105" s="4">
        <f t="shared" si="36"/>
        <v>-1456277.0329847923</v>
      </c>
      <c r="AD105" s="4">
        <f t="shared" si="37"/>
        <v>-2334400.0000000014</v>
      </c>
      <c r="AE105" s="5">
        <f t="shared" si="38"/>
        <v>0</v>
      </c>
      <c r="AF105" s="3" t="str">
        <f t="shared" si="39"/>
        <v>N</v>
      </c>
      <c r="AH105" s="4">
        <f t="shared" si="40"/>
        <v>13055588.47939758</v>
      </c>
      <c r="AI105" s="4">
        <f t="shared" si="41"/>
        <v>20928000</v>
      </c>
    </row>
    <row r="106" spans="1:35">
      <c r="A106" s="3">
        <v>104</v>
      </c>
      <c r="B106" s="3" t="s">
        <v>771</v>
      </c>
      <c r="C106" s="3" t="s">
        <v>667</v>
      </c>
      <c r="D106" s="4">
        <v>13280</v>
      </c>
      <c r="E106" s="4">
        <v>56596663.073647492</v>
      </c>
      <c r="F106" s="4">
        <v>0</v>
      </c>
      <c r="G106" s="4">
        <v>0</v>
      </c>
      <c r="H106" s="4">
        <f t="shared" si="24"/>
        <v>56596663.073647492</v>
      </c>
      <c r="I106" s="4">
        <f t="shared" si="25"/>
        <v>4261.7969181963472</v>
      </c>
      <c r="J106" s="4">
        <v>13194.1</v>
      </c>
      <c r="K106" s="5">
        <f t="shared" si="26"/>
        <v>13194.1</v>
      </c>
      <c r="L106" s="4">
        <v>5650</v>
      </c>
      <c r="M106" s="4">
        <f t="shared" si="22"/>
        <v>74912753.355273068</v>
      </c>
      <c r="N106" s="4">
        <f t="shared" si="27"/>
        <v>18316090.281625576</v>
      </c>
      <c r="O106" s="4">
        <f t="shared" si="28"/>
        <v>18316090.281625576</v>
      </c>
      <c r="P106" s="4">
        <f t="shared" si="29"/>
        <v>0</v>
      </c>
      <c r="T106" s="4">
        <f t="shared" si="30"/>
        <v>4261.7969181963472</v>
      </c>
      <c r="U106" s="4">
        <f t="shared" si="31"/>
        <v>18316090.281625576</v>
      </c>
      <c r="V106" s="4">
        <f t="shared" si="32"/>
        <v>18316090.281625576</v>
      </c>
      <c r="W106" s="4">
        <f t="shared" si="33"/>
        <v>0</v>
      </c>
      <c r="X106" s="5">
        <f t="shared" si="34"/>
        <v>74912753.355273068</v>
      </c>
      <c r="Y106" s="5">
        <f t="shared" si="35"/>
        <v>0</v>
      </c>
      <c r="Z106" s="5">
        <f t="shared" si="35"/>
        <v>0</v>
      </c>
      <c r="AB106" s="5">
        <f t="shared" si="23"/>
        <v>85.899999999999636</v>
      </c>
      <c r="AC106" s="4">
        <f t="shared" si="36"/>
        <v>366088.35527306469</v>
      </c>
      <c r="AD106" s="4">
        <f t="shared" si="37"/>
        <v>485334.99999999796</v>
      </c>
      <c r="AE106" s="5">
        <f t="shared" si="38"/>
        <v>-119246.64472693327</v>
      </c>
      <c r="AF106" s="3" t="str">
        <f t="shared" si="39"/>
        <v>N</v>
      </c>
      <c r="AH106" s="4">
        <f t="shared" si="40"/>
        <v>56230574.718374424</v>
      </c>
      <c r="AI106" s="4">
        <f t="shared" si="41"/>
        <v>74546665</v>
      </c>
    </row>
    <row r="107" spans="1:35">
      <c r="A107" s="3">
        <v>105</v>
      </c>
      <c r="B107" s="3" t="s">
        <v>772</v>
      </c>
      <c r="C107" s="3" t="s">
        <v>667</v>
      </c>
      <c r="D107" s="4">
        <v>8500</v>
      </c>
      <c r="E107" s="4">
        <v>38565150.965178706</v>
      </c>
      <c r="F107" s="4">
        <v>0</v>
      </c>
      <c r="G107" s="4">
        <v>0</v>
      </c>
      <c r="H107" s="4">
        <f t="shared" si="24"/>
        <v>38565150.965178706</v>
      </c>
      <c r="I107" s="4">
        <f t="shared" si="25"/>
        <v>4537.076584138671</v>
      </c>
      <c r="J107" s="4">
        <v>8454.7000000000007</v>
      </c>
      <c r="K107" s="5">
        <f t="shared" si="26"/>
        <v>8454.7000000000007</v>
      </c>
      <c r="L107" s="4">
        <v>4740</v>
      </c>
      <c r="M107" s="4">
        <f t="shared" si="22"/>
        <v>40280807.569261484</v>
      </c>
      <c r="N107" s="4">
        <f t="shared" si="27"/>
        <v>1715656.6040827783</v>
      </c>
      <c r="O107" s="4">
        <f t="shared" si="28"/>
        <v>1715656.6040827783</v>
      </c>
      <c r="P107" s="4">
        <f t="shared" si="29"/>
        <v>0</v>
      </c>
      <c r="T107" s="4">
        <f t="shared" si="30"/>
        <v>4537.076584138671</v>
      </c>
      <c r="U107" s="4">
        <f t="shared" si="31"/>
        <v>1715656.6040827783</v>
      </c>
      <c r="V107" s="4">
        <f t="shared" si="32"/>
        <v>1715656.6040827783</v>
      </c>
      <c r="W107" s="4">
        <f t="shared" si="33"/>
        <v>0</v>
      </c>
      <c r="X107" s="5">
        <f t="shared" si="34"/>
        <v>40280807.569261484</v>
      </c>
      <c r="Y107" s="5">
        <f t="shared" si="35"/>
        <v>0</v>
      </c>
      <c r="Z107" s="5">
        <f t="shared" si="35"/>
        <v>0</v>
      </c>
      <c r="AB107" s="5">
        <f t="shared" si="23"/>
        <v>45.299999999999272</v>
      </c>
      <c r="AC107" s="4">
        <f t="shared" si="36"/>
        <v>205529.56926147849</v>
      </c>
      <c r="AD107" s="4">
        <f t="shared" si="37"/>
        <v>214721.99999999657</v>
      </c>
      <c r="AE107" s="5">
        <f t="shared" si="38"/>
        <v>-9192.4307385180728</v>
      </c>
      <c r="AF107" s="3" t="str">
        <f t="shared" si="39"/>
        <v>N</v>
      </c>
      <c r="AH107" s="4">
        <f t="shared" si="40"/>
        <v>38359621.395917222</v>
      </c>
      <c r="AI107" s="4">
        <f t="shared" si="41"/>
        <v>40075278</v>
      </c>
    </row>
    <row r="108" spans="1:35">
      <c r="A108" s="3">
        <v>106</v>
      </c>
      <c r="B108" s="3" t="s">
        <v>773</v>
      </c>
      <c r="C108" s="3" t="s">
        <v>667</v>
      </c>
      <c r="D108" s="4">
        <v>17500</v>
      </c>
      <c r="E108" s="4">
        <v>210066526.61777022</v>
      </c>
      <c r="F108" s="4">
        <v>0</v>
      </c>
      <c r="G108" s="4">
        <v>0</v>
      </c>
      <c r="H108" s="4">
        <f t="shared" si="24"/>
        <v>210066526.61777022</v>
      </c>
      <c r="I108" s="4">
        <f t="shared" si="25"/>
        <v>12003.801521015441</v>
      </c>
      <c r="J108" s="4">
        <v>17466.3</v>
      </c>
      <c r="K108" s="5">
        <f t="shared" si="26"/>
        <v>17466.3</v>
      </c>
      <c r="L108" s="4">
        <v>14350</v>
      </c>
      <c r="M108" s="4">
        <f t="shared" si="22"/>
        <v>251045933.11125824</v>
      </c>
      <c r="N108" s="4">
        <f t="shared" si="27"/>
        <v>40979406.493488006</v>
      </c>
      <c r="O108" s="4">
        <f t="shared" si="28"/>
        <v>40979406.493488006</v>
      </c>
      <c r="P108" s="4">
        <f t="shared" si="29"/>
        <v>0</v>
      </c>
      <c r="T108" s="4">
        <f t="shared" si="30"/>
        <v>12003.801521015441</v>
      </c>
      <c r="U108" s="4">
        <f t="shared" si="31"/>
        <v>40979406.493488006</v>
      </c>
      <c r="V108" s="4">
        <f t="shared" si="32"/>
        <v>40979406.493488006</v>
      </c>
      <c r="W108" s="4">
        <f t="shared" si="33"/>
        <v>0</v>
      </c>
      <c r="X108" s="5">
        <f t="shared" si="34"/>
        <v>251045933.11125824</v>
      </c>
      <c r="Y108" s="5">
        <f t="shared" si="35"/>
        <v>0</v>
      </c>
      <c r="Z108" s="5">
        <f t="shared" si="35"/>
        <v>0</v>
      </c>
      <c r="AB108" s="5">
        <f t="shared" si="23"/>
        <v>33.700000000000728</v>
      </c>
      <c r="AC108" s="4">
        <f t="shared" si="36"/>
        <v>404528.11125822907</v>
      </c>
      <c r="AD108" s="4">
        <f t="shared" si="37"/>
        <v>483595.00000001042</v>
      </c>
      <c r="AE108" s="5">
        <f t="shared" si="38"/>
        <v>-79066.888741781353</v>
      </c>
      <c r="AF108" s="3" t="str">
        <f t="shared" si="39"/>
        <v>N</v>
      </c>
      <c r="AH108" s="4">
        <f t="shared" si="40"/>
        <v>209661998.50651199</v>
      </c>
      <c r="AI108" s="4">
        <f t="shared" si="41"/>
        <v>250641405</v>
      </c>
    </row>
    <row r="109" spans="1:35">
      <c r="A109" s="3">
        <v>107</v>
      </c>
      <c r="B109" s="3" t="s">
        <v>774</v>
      </c>
      <c r="C109" s="3" t="s">
        <v>667</v>
      </c>
      <c r="D109" s="4">
        <v>75</v>
      </c>
      <c r="E109" s="4">
        <v>-556484.79302556626</v>
      </c>
      <c r="F109" s="4">
        <v>3200467</v>
      </c>
      <c r="G109" s="4">
        <v>0</v>
      </c>
      <c r="H109" s="4">
        <f t="shared" si="24"/>
        <v>2643982.2069744337</v>
      </c>
      <c r="I109" s="4">
        <f t="shared" si="25"/>
        <v>-7419.7972403408839</v>
      </c>
      <c r="J109" s="4">
        <v>51.9</v>
      </c>
      <c r="K109" s="5">
        <f t="shared" si="26"/>
        <v>51.9</v>
      </c>
      <c r="L109" s="4">
        <v>19500</v>
      </c>
      <c r="M109" s="4">
        <f t="shared" si="22"/>
        <v>840652.68374812556</v>
      </c>
      <c r="N109" s="4">
        <f t="shared" si="27"/>
        <v>1397137.4767736918</v>
      </c>
      <c r="O109" s="4">
        <f t="shared" si="28"/>
        <v>1397137.4767736918</v>
      </c>
      <c r="P109" s="4">
        <f t="shared" si="29"/>
        <v>0</v>
      </c>
      <c r="Q109" s="4">
        <f>(L109-I109)*K109</f>
        <v>1397137.4767736918</v>
      </c>
      <c r="T109" s="4">
        <f t="shared" si="30"/>
        <v>35253.096092992448</v>
      </c>
      <c r="U109" s="4">
        <f t="shared" si="31"/>
        <v>-817585.68722630804</v>
      </c>
      <c r="V109" s="4">
        <f t="shared" si="32"/>
        <v>0</v>
      </c>
      <c r="W109" s="4">
        <f t="shared" si="33"/>
        <v>-817585.68722630804</v>
      </c>
      <c r="X109" s="5">
        <f t="shared" si="34"/>
        <v>1826396.5197481257</v>
      </c>
      <c r="Y109" s="5">
        <f t="shared" si="35"/>
        <v>1397137.4767736918</v>
      </c>
      <c r="Z109" s="5">
        <f t="shared" si="35"/>
        <v>817585.68722630804</v>
      </c>
      <c r="AB109" s="5">
        <f t="shared" si="23"/>
        <v>23.1</v>
      </c>
      <c r="AC109" s="4">
        <f t="shared" si="36"/>
        <v>814346.51974812557</v>
      </c>
      <c r="AD109" s="4">
        <f t="shared" si="37"/>
        <v>450450</v>
      </c>
      <c r="AE109" s="5">
        <f t="shared" si="38"/>
        <v>363896.51974812557</v>
      </c>
      <c r="AF109" s="3" t="str">
        <f t="shared" si="39"/>
        <v>Y</v>
      </c>
      <c r="AH109" s="4">
        <f t="shared" si="40"/>
        <v>1829635.687226308</v>
      </c>
      <c r="AI109" s="4">
        <f t="shared" si="41"/>
        <v>1012050</v>
      </c>
    </row>
    <row r="110" spans="1:35">
      <c r="A110" s="3">
        <v>108</v>
      </c>
      <c r="B110" s="3" t="s">
        <v>775</v>
      </c>
      <c r="C110" s="3" t="s">
        <v>667</v>
      </c>
      <c r="D110" s="4">
        <v>17420</v>
      </c>
      <c r="E110" s="4">
        <v>92571367.291121289</v>
      </c>
      <c r="F110" s="4">
        <v>0</v>
      </c>
      <c r="G110" s="4">
        <v>0</v>
      </c>
      <c r="H110" s="4">
        <f t="shared" si="24"/>
        <v>92571367.291121289</v>
      </c>
      <c r="I110" s="4">
        <f t="shared" si="25"/>
        <v>5314.0853783651719</v>
      </c>
      <c r="J110" s="4">
        <v>17327.2</v>
      </c>
      <c r="K110" s="5">
        <f t="shared" si="26"/>
        <v>17327.2</v>
      </c>
      <c r="L110" s="4">
        <v>4490</v>
      </c>
      <c r="M110" s="4">
        <f t="shared" si="22"/>
        <v>78292275.123112276</v>
      </c>
      <c r="N110" s="4">
        <f t="shared" si="27"/>
        <v>-14279092.168009007</v>
      </c>
      <c r="O110" s="4">
        <f t="shared" si="28"/>
        <v>0</v>
      </c>
      <c r="P110" s="4">
        <f t="shared" si="29"/>
        <v>-14279092.168009007</v>
      </c>
      <c r="T110" s="4">
        <f t="shared" si="30"/>
        <v>5314.0853783651719</v>
      </c>
      <c r="U110" s="4">
        <f t="shared" si="31"/>
        <v>-14279092.168009007</v>
      </c>
      <c r="V110" s="4">
        <f t="shared" si="32"/>
        <v>0</v>
      </c>
      <c r="W110" s="4">
        <f t="shared" si="33"/>
        <v>-14279092.168009007</v>
      </c>
      <c r="X110" s="5">
        <f t="shared" si="34"/>
        <v>78292275.123112276</v>
      </c>
      <c r="Y110" s="5">
        <f t="shared" si="35"/>
        <v>0</v>
      </c>
      <c r="Z110" s="5">
        <f t="shared" si="35"/>
        <v>0</v>
      </c>
      <c r="AB110" s="5">
        <f t="shared" si="23"/>
        <v>92.799999999999272</v>
      </c>
      <c r="AC110" s="4">
        <f t="shared" si="36"/>
        <v>493147.12311228411</v>
      </c>
      <c r="AD110" s="4">
        <f t="shared" si="37"/>
        <v>416671.99999999674</v>
      </c>
      <c r="AE110" s="5">
        <f t="shared" si="38"/>
        <v>76475.123112287372</v>
      </c>
      <c r="AF110" s="3" t="str">
        <f t="shared" si="39"/>
        <v>Y</v>
      </c>
      <c r="AH110" s="4">
        <f t="shared" si="40"/>
        <v>92078220.168009013</v>
      </c>
      <c r="AI110" s="4">
        <f t="shared" si="41"/>
        <v>77799128</v>
      </c>
    </row>
    <row r="111" spans="1:35">
      <c r="A111" s="3">
        <v>109</v>
      </c>
      <c r="B111" s="3" t="s">
        <v>776</v>
      </c>
      <c r="C111" s="3" t="s">
        <v>667</v>
      </c>
      <c r="D111" s="4">
        <v>463100</v>
      </c>
      <c r="E111" s="4">
        <v>3758724591.676125</v>
      </c>
      <c r="F111" s="4">
        <v>0</v>
      </c>
      <c r="G111" s="4">
        <v>0</v>
      </c>
      <c r="H111" s="4">
        <f t="shared" si="24"/>
        <v>3758724591.676125</v>
      </c>
      <c r="I111" s="4">
        <f t="shared" si="25"/>
        <v>8116.4426509957357</v>
      </c>
      <c r="J111" s="4">
        <v>462487.8</v>
      </c>
      <c r="K111" s="5">
        <f t="shared" si="26"/>
        <v>462487.8</v>
      </c>
      <c r="L111" s="4">
        <v>3500</v>
      </c>
      <c r="M111" s="4">
        <f t="shared" si="22"/>
        <v>1623676186.1909394</v>
      </c>
      <c r="N111" s="4">
        <f t="shared" si="27"/>
        <v>-2135048405.4851856</v>
      </c>
      <c r="O111" s="4">
        <f t="shared" si="28"/>
        <v>0</v>
      </c>
      <c r="P111" s="4">
        <f t="shared" si="29"/>
        <v>-2135048405.4851856</v>
      </c>
      <c r="T111" s="4">
        <f t="shared" si="30"/>
        <v>8116.4426509957357</v>
      </c>
      <c r="U111" s="4">
        <f t="shared" si="31"/>
        <v>-2135048405.4851856</v>
      </c>
      <c r="V111" s="4">
        <f t="shared" si="32"/>
        <v>0</v>
      </c>
      <c r="W111" s="4">
        <f t="shared" si="33"/>
        <v>-2135048405.4851856</v>
      </c>
      <c r="X111" s="5">
        <f t="shared" si="34"/>
        <v>1623676186.1909394</v>
      </c>
      <c r="Y111" s="5">
        <f t="shared" si="35"/>
        <v>0</v>
      </c>
      <c r="Z111" s="5">
        <f t="shared" si="35"/>
        <v>0</v>
      </c>
      <c r="AB111" s="5">
        <f t="shared" si="23"/>
        <v>612.20000000001164</v>
      </c>
      <c r="AC111" s="4">
        <f t="shared" si="36"/>
        <v>4968886.1909396835</v>
      </c>
      <c r="AD111" s="4">
        <f t="shared" si="37"/>
        <v>2142700.000000041</v>
      </c>
      <c r="AE111" s="5">
        <f t="shared" si="38"/>
        <v>2826186.1909396425</v>
      </c>
      <c r="AF111" s="3" t="str">
        <f t="shared" si="39"/>
        <v>Y</v>
      </c>
      <c r="AH111" s="4">
        <f t="shared" si="40"/>
        <v>3753755705.4851856</v>
      </c>
      <c r="AI111" s="4">
        <f t="shared" si="41"/>
        <v>1618707300</v>
      </c>
    </row>
    <row r="112" spans="1:35">
      <c r="A112" s="3">
        <v>110</v>
      </c>
      <c r="B112" s="3" t="s">
        <v>777</v>
      </c>
      <c r="C112" s="3" t="s">
        <v>667</v>
      </c>
      <c r="D112" s="4">
        <v>600</v>
      </c>
      <c r="E112" s="4">
        <v>28357668.339169204</v>
      </c>
      <c r="F112" s="4">
        <v>0</v>
      </c>
      <c r="G112" s="4">
        <v>0</v>
      </c>
      <c r="H112" s="4">
        <f t="shared" si="24"/>
        <v>28357668.339169204</v>
      </c>
      <c r="I112" s="4">
        <f t="shared" si="25"/>
        <v>47262.78056528201</v>
      </c>
      <c r="J112" s="4">
        <v>560.9</v>
      </c>
      <c r="K112" s="5">
        <f t="shared" si="26"/>
        <v>560.9</v>
      </c>
      <c r="L112" s="4">
        <v>45000</v>
      </c>
      <c r="M112" s="4">
        <f t="shared" si="22"/>
        <v>27088474.720102526</v>
      </c>
      <c r="N112" s="4">
        <f t="shared" si="27"/>
        <v>-1269193.6190666792</v>
      </c>
      <c r="O112" s="4">
        <f t="shared" si="28"/>
        <v>0</v>
      </c>
      <c r="P112" s="4">
        <f t="shared" si="29"/>
        <v>-1269193.6190666792</v>
      </c>
      <c r="T112" s="4">
        <f t="shared" si="30"/>
        <v>47262.78056528201</v>
      </c>
      <c r="U112" s="4">
        <f t="shared" si="31"/>
        <v>-1269193.6190666792</v>
      </c>
      <c r="V112" s="4">
        <f t="shared" si="32"/>
        <v>0</v>
      </c>
      <c r="W112" s="4">
        <f t="shared" si="33"/>
        <v>-1269193.6190666792</v>
      </c>
      <c r="X112" s="5">
        <f t="shared" si="34"/>
        <v>27088474.720102526</v>
      </c>
      <c r="Y112" s="5">
        <f t="shared" si="35"/>
        <v>0</v>
      </c>
      <c r="Z112" s="5">
        <f t="shared" si="35"/>
        <v>0</v>
      </c>
      <c r="AB112" s="5">
        <f t="shared" si="23"/>
        <v>39.100000000000023</v>
      </c>
      <c r="AC112" s="4">
        <f t="shared" si="36"/>
        <v>1847974.7201025276</v>
      </c>
      <c r="AD112" s="4">
        <f t="shared" si="37"/>
        <v>1759500.0000000009</v>
      </c>
      <c r="AE112" s="5">
        <f t="shared" si="38"/>
        <v>88474.720102526713</v>
      </c>
      <c r="AF112" s="3" t="str">
        <f t="shared" si="39"/>
        <v>Y</v>
      </c>
      <c r="AH112" s="4">
        <f t="shared" si="40"/>
        <v>26509693.619066678</v>
      </c>
      <c r="AI112" s="4">
        <f t="shared" si="41"/>
        <v>25240500</v>
      </c>
    </row>
    <row r="113" spans="1:35">
      <c r="A113" s="3">
        <v>111</v>
      </c>
      <c r="B113" s="3" t="s">
        <v>778</v>
      </c>
      <c r="C113" s="3" t="s">
        <v>667</v>
      </c>
      <c r="D113" s="4">
        <v>37873</v>
      </c>
      <c r="E113" s="4">
        <v>2346661714.2513533</v>
      </c>
      <c r="F113" s="4">
        <v>0</v>
      </c>
      <c r="G113" s="4">
        <v>0</v>
      </c>
      <c r="H113" s="4">
        <f t="shared" si="24"/>
        <v>2346661714.2513533</v>
      </c>
      <c r="I113" s="4">
        <f t="shared" si="25"/>
        <v>61961.336948521457</v>
      </c>
      <c r="J113" s="4">
        <v>39605.199999999997</v>
      </c>
      <c r="K113" s="5">
        <f t="shared" si="26"/>
        <v>37873</v>
      </c>
      <c r="L113" s="4">
        <v>96100</v>
      </c>
      <c r="M113" s="4">
        <f t="shared" si="22"/>
        <v>3639595300</v>
      </c>
      <c r="N113" s="4">
        <f t="shared" si="27"/>
        <v>1292933585.748647</v>
      </c>
      <c r="O113" s="4">
        <f t="shared" si="28"/>
        <v>1292933585.748647</v>
      </c>
      <c r="P113" s="4">
        <f t="shared" si="29"/>
        <v>0</v>
      </c>
      <c r="T113" s="4">
        <f t="shared" si="30"/>
        <v>61961.336948521457</v>
      </c>
      <c r="U113" s="4">
        <f t="shared" si="31"/>
        <v>1292933585.748647</v>
      </c>
      <c r="V113" s="4">
        <f t="shared" si="32"/>
        <v>1292933585.748647</v>
      </c>
      <c r="W113" s="4">
        <f t="shared" si="33"/>
        <v>0</v>
      </c>
      <c r="X113" s="5">
        <f t="shared" si="34"/>
        <v>3639595300</v>
      </c>
      <c r="Y113" s="5">
        <f t="shared" si="35"/>
        <v>0</v>
      </c>
      <c r="Z113" s="5">
        <f t="shared" si="35"/>
        <v>0</v>
      </c>
      <c r="AB113" s="5">
        <f t="shared" si="23"/>
        <v>-1732.1999999999971</v>
      </c>
      <c r="AC113" s="4">
        <f t="shared" si="36"/>
        <v>-107329427.86222869</v>
      </c>
      <c r="AD113" s="4">
        <f t="shared" si="37"/>
        <v>-166464419.99999973</v>
      </c>
      <c r="AE113" s="5">
        <f t="shared" si="38"/>
        <v>0</v>
      </c>
      <c r="AF113" s="3" t="str">
        <f t="shared" si="39"/>
        <v>N</v>
      </c>
      <c r="AH113" s="4">
        <f t="shared" si="40"/>
        <v>2346661714.2513533</v>
      </c>
      <c r="AI113" s="4">
        <f t="shared" si="41"/>
        <v>3639595300</v>
      </c>
    </row>
    <row r="114" spans="1:35">
      <c r="A114" s="3">
        <v>112</v>
      </c>
      <c r="B114" s="3" t="s">
        <v>779</v>
      </c>
      <c r="C114" s="3" t="s">
        <v>667</v>
      </c>
      <c r="D114" s="4">
        <v>1587</v>
      </c>
      <c r="E114" s="4">
        <v>-116280610.19621114</v>
      </c>
      <c r="F114" s="4">
        <v>207977969</v>
      </c>
      <c r="G114" s="4">
        <v>0</v>
      </c>
      <c r="H114" s="4">
        <f t="shared" si="24"/>
        <v>91697358.803788856</v>
      </c>
      <c r="I114" s="4">
        <f t="shared" si="25"/>
        <v>-73270.705857725989</v>
      </c>
      <c r="J114" s="4">
        <v>1615.3</v>
      </c>
      <c r="K114" s="5">
        <f t="shared" si="26"/>
        <v>1587</v>
      </c>
      <c r="L114" s="4">
        <v>107000</v>
      </c>
      <c r="M114" s="4">
        <f t="shared" si="22"/>
        <v>169809000</v>
      </c>
      <c r="N114" s="4">
        <f t="shared" si="27"/>
        <v>286089610.19621116</v>
      </c>
      <c r="O114" s="4">
        <f t="shared" si="28"/>
        <v>286089610.19621116</v>
      </c>
      <c r="P114" s="4">
        <f t="shared" si="29"/>
        <v>0</v>
      </c>
      <c r="T114" s="4">
        <f t="shared" si="30"/>
        <v>57780.314306105138</v>
      </c>
      <c r="U114" s="4">
        <f t="shared" si="31"/>
        <v>78111641.196211144</v>
      </c>
      <c r="V114" s="4">
        <f t="shared" si="32"/>
        <v>78111641.196211144</v>
      </c>
      <c r="W114" s="4">
        <f t="shared" si="33"/>
        <v>0</v>
      </c>
      <c r="X114" s="5">
        <f t="shared" si="34"/>
        <v>169809000</v>
      </c>
      <c r="Y114" s="5">
        <f t="shared" si="35"/>
        <v>207977969</v>
      </c>
      <c r="Z114" s="5">
        <f t="shared" si="35"/>
        <v>0</v>
      </c>
      <c r="AB114" s="5">
        <f t="shared" si="23"/>
        <v>-28.299999999999955</v>
      </c>
      <c r="AC114" s="4">
        <f t="shared" si="36"/>
        <v>-1635182.8948627727</v>
      </c>
      <c r="AD114" s="4">
        <f t="shared" si="37"/>
        <v>-3028099.9999999953</v>
      </c>
      <c r="AE114" s="5">
        <f t="shared" si="38"/>
        <v>0</v>
      </c>
      <c r="AF114" s="3" t="str">
        <f t="shared" si="39"/>
        <v>N</v>
      </c>
      <c r="AH114" s="4">
        <f t="shared" si="40"/>
        <v>91697358.803788856</v>
      </c>
      <c r="AI114" s="4">
        <f t="shared" si="41"/>
        <v>169809000</v>
      </c>
    </row>
    <row r="115" spans="1:35">
      <c r="A115" s="3">
        <v>113</v>
      </c>
      <c r="B115" s="3" t="s">
        <v>780</v>
      </c>
      <c r="C115" s="3" t="s">
        <v>667</v>
      </c>
      <c r="D115" s="4">
        <v>28800</v>
      </c>
      <c r="E115" s="4">
        <v>124376191.32221745</v>
      </c>
      <c r="F115" s="4">
        <v>0</v>
      </c>
      <c r="G115" s="4">
        <v>0</v>
      </c>
      <c r="H115" s="4">
        <f t="shared" si="24"/>
        <v>124376191.32221745</v>
      </c>
      <c r="I115" s="4">
        <f t="shared" si="25"/>
        <v>4318.6177542436617</v>
      </c>
      <c r="J115" s="4">
        <v>28700</v>
      </c>
      <c r="K115" s="5">
        <f t="shared" si="26"/>
        <v>28700</v>
      </c>
      <c r="L115" s="4">
        <v>600</v>
      </c>
      <c r="M115" s="4">
        <f t="shared" si="22"/>
        <v>17651861.775424361</v>
      </c>
      <c r="N115" s="4">
        <f t="shared" si="27"/>
        <v>-106724329.54679309</v>
      </c>
      <c r="O115" s="4">
        <f t="shared" si="28"/>
        <v>0</v>
      </c>
      <c r="P115" s="4">
        <f t="shared" si="29"/>
        <v>-106724329.54679309</v>
      </c>
      <c r="T115" s="4">
        <f t="shared" si="30"/>
        <v>4318.6177542436617</v>
      </c>
      <c r="U115" s="4">
        <f t="shared" si="31"/>
        <v>-106724329.54679309</v>
      </c>
      <c r="V115" s="4">
        <f t="shared" si="32"/>
        <v>0</v>
      </c>
      <c r="W115" s="4">
        <f t="shared" si="33"/>
        <v>-106724329.54679309</v>
      </c>
      <c r="X115" s="5">
        <f t="shared" si="34"/>
        <v>17651861.775424361</v>
      </c>
      <c r="Y115" s="5">
        <f t="shared" si="35"/>
        <v>0</v>
      </c>
      <c r="Z115" s="5">
        <f t="shared" si="35"/>
        <v>0</v>
      </c>
      <c r="AB115" s="5">
        <f t="shared" si="23"/>
        <v>100</v>
      </c>
      <c r="AC115" s="4">
        <f t="shared" si="36"/>
        <v>431861.77542436618</v>
      </c>
      <c r="AD115" s="4">
        <f t="shared" si="37"/>
        <v>60000</v>
      </c>
      <c r="AE115" s="5">
        <f t="shared" si="38"/>
        <v>371861.77542436618</v>
      </c>
      <c r="AF115" s="3" t="str">
        <f t="shared" si="39"/>
        <v>Y</v>
      </c>
      <c r="AH115" s="4">
        <f t="shared" si="40"/>
        <v>123944329.54679309</v>
      </c>
      <c r="AI115" s="4">
        <f t="shared" si="41"/>
        <v>17220000</v>
      </c>
    </row>
    <row r="116" spans="1:35">
      <c r="A116" s="3">
        <v>114</v>
      </c>
      <c r="B116" s="3" t="s">
        <v>781</v>
      </c>
      <c r="C116" s="3" t="s">
        <v>667</v>
      </c>
      <c r="D116" s="4">
        <v>2752</v>
      </c>
      <c r="E116" s="4">
        <v>65522833.491050176</v>
      </c>
      <c r="F116" s="4">
        <v>0</v>
      </c>
      <c r="G116" s="4">
        <v>0</v>
      </c>
      <c r="H116" s="4">
        <f t="shared" si="24"/>
        <v>65522833.491050176</v>
      </c>
      <c r="I116" s="4">
        <f t="shared" si="25"/>
        <v>23809.169146457185</v>
      </c>
      <c r="J116" s="4">
        <v>2674.5</v>
      </c>
      <c r="K116" s="5">
        <f t="shared" si="26"/>
        <v>2674.5</v>
      </c>
      <c r="L116" s="4">
        <v>44650</v>
      </c>
      <c r="M116" s="4">
        <f t="shared" si="22"/>
        <v>121261635.60885043</v>
      </c>
      <c r="N116" s="4">
        <f t="shared" si="27"/>
        <v>55738802.117800258</v>
      </c>
      <c r="O116" s="4">
        <f t="shared" si="28"/>
        <v>55738802.117800258</v>
      </c>
      <c r="P116" s="4">
        <f t="shared" si="29"/>
        <v>0</v>
      </c>
      <c r="T116" s="4">
        <f t="shared" si="30"/>
        <v>23809.169146457185</v>
      </c>
      <c r="U116" s="4">
        <f t="shared" si="31"/>
        <v>55738802.117800258</v>
      </c>
      <c r="V116" s="4">
        <f t="shared" si="32"/>
        <v>55738802.117800258</v>
      </c>
      <c r="W116" s="4">
        <f t="shared" si="33"/>
        <v>0</v>
      </c>
      <c r="X116" s="5">
        <f t="shared" si="34"/>
        <v>121261635.60885043</v>
      </c>
      <c r="Y116" s="5">
        <f t="shared" si="35"/>
        <v>0</v>
      </c>
      <c r="Z116" s="5">
        <f t="shared" si="35"/>
        <v>0</v>
      </c>
      <c r="AB116" s="5">
        <f t="shared" si="23"/>
        <v>77.5</v>
      </c>
      <c r="AC116" s="4">
        <f t="shared" si="36"/>
        <v>1845210.6088504319</v>
      </c>
      <c r="AD116" s="4">
        <f t="shared" si="37"/>
        <v>3460375</v>
      </c>
      <c r="AE116" s="5">
        <f t="shared" si="38"/>
        <v>-1615164.3911495681</v>
      </c>
      <c r="AF116" s="3" t="str">
        <f t="shared" si="39"/>
        <v>N</v>
      </c>
      <c r="AH116" s="4">
        <f t="shared" si="40"/>
        <v>63677622.882199742</v>
      </c>
      <c r="AI116" s="4">
        <f t="shared" si="41"/>
        <v>119416425</v>
      </c>
    </row>
    <row r="117" spans="1:35">
      <c r="A117" s="3">
        <v>115</v>
      </c>
      <c r="B117" s="3" t="s">
        <v>782</v>
      </c>
      <c r="C117" s="3" t="s">
        <v>667</v>
      </c>
      <c r="D117" s="4">
        <v>7200</v>
      </c>
      <c r="E117" s="4">
        <v>577804668.27935255</v>
      </c>
      <c r="F117" s="4">
        <v>0</v>
      </c>
      <c r="G117" s="4">
        <v>0</v>
      </c>
      <c r="H117" s="4">
        <f t="shared" si="24"/>
        <v>577804668.27935255</v>
      </c>
      <c r="I117" s="4">
        <f t="shared" si="25"/>
        <v>80250.648372132302</v>
      </c>
      <c r="J117" s="4">
        <v>7070.8</v>
      </c>
      <c r="K117" s="5">
        <f t="shared" si="26"/>
        <v>7070.8</v>
      </c>
      <c r="L117" s="4">
        <v>75500</v>
      </c>
      <c r="M117" s="4">
        <f t="shared" si="22"/>
        <v>544213783.76967943</v>
      </c>
      <c r="N117" s="4">
        <f t="shared" si="27"/>
        <v>-33590884.509673081</v>
      </c>
      <c r="O117" s="4">
        <f t="shared" si="28"/>
        <v>0</v>
      </c>
      <c r="P117" s="4">
        <f t="shared" si="29"/>
        <v>-33590884.509673081</v>
      </c>
      <c r="T117" s="4">
        <f t="shared" si="30"/>
        <v>80250.648372132302</v>
      </c>
      <c r="U117" s="4">
        <f t="shared" si="31"/>
        <v>-33590884.509673081</v>
      </c>
      <c r="V117" s="4">
        <f t="shared" si="32"/>
        <v>0</v>
      </c>
      <c r="W117" s="4">
        <f t="shared" si="33"/>
        <v>-33590884.509673081</v>
      </c>
      <c r="X117" s="5">
        <f t="shared" si="34"/>
        <v>544213783.76967943</v>
      </c>
      <c r="Y117" s="5">
        <f t="shared" si="35"/>
        <v>0</v>
      </c>
      <c r="Z117" s="5">
        <f t="shared" si="35"/>
        <v>0</v>
      </c>
      <c r="AB117" s="5">
        <f t="shared" si="23"/>
        <v>129.19999999999982</v>
      </c>
      <c r="AC117" s="4">
        <f t="shared" si="36"/>
        <v>10368383.769679479</v>
      </c>
      <c r="AD117" s="4">
        <f t="shared" si="37"/>
        <v>9754599.999999987</v>
      </c>
      <c r="AE117" s="5">
        <f t="shared" si="38"/>
        <v>613783.76967949234</v>
      </c>
      <c r="AF117" s="3" t="str">
        <f t="shared" si="39"/>
        <v>Y</v>
      </c>
      <c r="AH117" s="4">
        <f t="shared" si="40"/>
        <v>567436284.50967312</v>
      </c>
      <c r="AI117" s="4">
        <f t="shared" si="41"/>
        <v>533845400</v>
      </c>
    </row>
    <row r="118" spans="1:35">
      <c r="A118" s="3">
        <v>116</v>
      </c>
      <c r="B118" s="3" t="s">
        <v>783</v>
      </c>
      <c r="C118" s="3" t="s">
        <v>667</v>
      </c>
      <c r="D118" s="4">
        <v>891</v>
      </c>
      <c r="E118" s="4">
        <v>26446900.742085021</v>
      </c>
      <c r="F118" s="4">
        <v>0</v>
      </c>
      <c r="G118" s="4">
        <v>0</v>
      </c>
      <c r="H118" s="4">
        <f t="shared" si="24"/>
        <v>26446900.742085021</v>
      </c>
      <c r="I118" s="4">
        <f t="shared" si="25"/>
        <v>29682.267948468038</v>
      </c>
      <c r="J118" s="4">
        <v>759.1</v>
      </c>
      <c r="K118" s="5">
        <f t="shared" si="26"/>
        <v>759.1</v>
      </c>
      <c r="L118" s="4">
        <v>23250</v>
      </c>
      <c r="M118" s="4">
        <f t="shared" si="22"/>
        <v>21564166.142402932</v>
      </c>
      <c r="N118" s="4">
        <f t="shared" si="27"/>
        <v>-4882734.5996820871</v>
      </c>
      <c r="O118" s="4">
        <f t="shared" si="28"/>
        <v>0</v>
      </c>
      <c r="P118" s="4">
        <f t="shared" si="29"/>
        <v>-4882734.5996820871</v>
      </c>
      <c r="T118" s="4">
        <f t="shared" si="30"/>
        <v>29682.267948468038</v>
      </c>
      <c r="U118" s="4">
        <f t="shared" si="31"/>
        <v>-4882734.5996820871</v>
      </c>
      <c r="V118" s="4">
        <f t="shared" si="32"/>
        <v>0</v>
      </c>
      <c r="W118" s="4">
        <f t="shared" si="33"/>
        <v>-4882734.5996820871</v>
      </c>
      <c r="X118" s="5">
        <f t="shared" si="34"/>
        <v>21564166.142402932</v>
      </c>
      <c r="Y118" s="5">
        <f t="shared" si="35"/>
        <v>0</v>
      </c>
      <c r="Z118" s="5">
        <f t="shared" si="35"/>
        <v>0</v>
      </c>
      <c r="AB118" s="5">
        <f t="shared" si="23"/>
        <v>131.89999999999998</v>
      </c>
      <c r="AC118" s="4">
        <f t="shared" si="36"/>
        <v>3915091.1424029334</v>
      </c>
      <c r="AD118" s="4">
        <f t="shared" si="37"/>
        <v>3066674.9999999995</v>
      </c>
      <c r="AE118" s="5">
        <f t="shared" si="38"/>
        <v>848416.14240293391</v>
      </c>
      <c r="AF118" s="3" t="str">
        <f t="shared" si="39"/>
        <v>Y</v>
      </c>
      <c r="AH118" s="4">
        <f t="shared" si="40"/>
        <v>22531809.599682089</v>
      </c>
      <c r="AI118" s="4">
        <f t="shared" si="41"/>
        <v>17649075</v>
      </c>
    </row>
    <row r="119" spans="1:35">
      <c r="A119" s="3">
        <v>117</v>
      </c>
      <c r="B119" s="3" t="s">
        <v>784</v>
      </c>
      <c r="C119" s="3" t="s">
        <v>667</v>
      </c>
      <c r="D119" s="4">
        <v>7124</v>
      </c>
      <c r="E119" s="4">
        <v>99926601.895690054</v>
      </c>
      <c r="F119" s="4">
        <v>0</v>
      </c>
      <c r="G119" s="4">
        <v>0</v>
      </c>
      <c r="H119" s="4">
        <f t="shared" si="24"/>
        <v>99926601.895690054</v>
      </c>
      <c r="I119" s="4">
        <f t="shared" si="25"/>
        <v>14026.754898328194</v>
      </c>
      <c r="J119" s="4">
        <v>6995.4</v>
      </c>
      <c r="K119" s="5">
        <f t="shared" si="26"/>
        <v>6995.4</v>
      </c>
      <c r="L119" s="4">
        <v>12850</v>
      </c>
      <c r="M119" s="4">
        <f t="shared" si="22"/>
        <v>91694730.67992501</v>
      </c>
      <c r="N119" s="4">
        <f t="shared" si="27"/>
        <v>-8231871.2157650478</v>
      </c>
      <c r="O119" s="4">
        <f t="shared" si="28"/>
        <v>0</v>
      </c>
      <c r="P119" s="4">
        <f t="shared" si="29"/>
        <v>-8231871.2157650478</v>
      </c>
      <c r="T119" s="4">
        <f t="shared" si="30"/>
        <v>14026.754898328194</v>
      </c>
      <c r="U119" s="4">
        <f t="shared" si="31"/>
        <v>-8231871.2157650478</v>
      </c>
      <c r="V119" s="4">
        <f t="shared" si="32"/>
        <v>0</v>
      </c>
      <c r="W119" s="4">
        <f t="shared" si="33"/>
        <v>-8231871.2157650478</v>
      </c>
      <c r="X119" s="5">
        <f t="shared" si="34"/>
        <v>91694730.67992501</v>
      </c>
      <c r="Y119" s="5">
        <f t="shared" si="35"/>
        <v>0</v>
      </c>
      <c r="Z119" s="5">
        <f t="shared" si="35"/>
        <v>0</v>
      </c>
      <c r="AB119" s="5">
        <f t="shared" si="23"/>
        <v>128.60000000000036</v>
      </c>
      <c r="AC119" s="4">
        <f t="shared" si="36"/>
        <v>1803840.6799250108</v>
      </c>
      <c r="AD119" s="4">
        <f t="shared" si="37"/>
        <v>1652510.0000000047</v>
      </c>
      <c r="AE119" s="5">
        <f t="shared" si="38"/>
        <v>151330.67992500612</v>
      </c>
      <c r="AF119" s="3" t="str">
        <f t="shared" si="39"/>
        <v>Y</v>
      </c>
      <c r="AH119" s="4">
        <f t="shared" si="40"/>
        <v>98122761.215765044</v>
      </c>
      <c r="AI119" s="4">
        <f t="shared" si="41"/>
        <v>89890890</v>
      </c>
    </row>
    <row r="120" spans="1:35">
      <c r="A120" s="3">
        <v>118</v>
      </c>
      <c r="B120" s="3" t="s">
        <v>785</v>
      </c>
      <c r="C120" s="3" t="s">
        <v>667</v>
      </c>
      <c r="D120" s="4">
        <v>21700</v>
      </c>
      <c r="E120" s="4">
        <v>293652428.51797396</v>
      </c>
      <c r="F120" s="4">
        <v>0</v>
      </c>
      <c r="G120" s="4">
        <v>0</v>
      </c>
      <c r="H120" s="4">
        <f t="shared" si="24"/>
        <v>293652428.51797396</v>
      </c>
      <c r="I120" s="4">
        <f t="shared" si="25"/>
        <v>13532.369977786819</v>
      </c>
      <c r="J120" s="4">
        <v>21625.9</v>
      </c>
      <c r="K120" s="5">
        <f t="shared" si="26"/>
        <v>21625.9</v>
      </c>
      <c r="L120" s="4">
        <v>23600</v>
      </c>
      <c r="M120" s="4">
        <f t="shared" si="22"/>
        <v>511373988.615354</v>
      </c>
      <c r="N120" s="4">
        <f t="shared" si="27"/>
        <v>217721560.09738004</v>
      </c>
      <c r="O120" s="4">
        <f t="shared" si="28"/>
        <v>217721560.09738004</v>
      </c>
      <c r="P120" s="4">
        <f t="shared" si="29"/>
        <v>0</v>
      </c>
      <c r="T120" s="4">
        <f t="shared" si="30"/>
        <v>13532.369977786819</v>
      </c>
      <c r="U120" s="4">
        <f t="shared" si="31"/>
        <v>217721560.09738004</v>
      </c>
      <c r="V120" s="4">
        <f t="shared" si="32"/>
        <v>217721560.09738004</v>
      </c>
      <c r="W120" s="4">
        <f t="shared" si="33"/>
        <v>0</v>
      </c>
      <c r="X120" s="5">
        <f t="shared" si="34"/>
        <v>511373988.615354</v>
      </c>
      <c r="Y120" s="5">
        <f t="shared" si="35"/>
        <v>0</v>
      </c>
      <c r="Z120" s="5">
        <f t="shared" si="35"/>
        <v>0</v>
      </c>
      <c r="AB120" s="5">
        <f t="shared" si="23"/>
        <v>74.099999999998545</v>
      </c>
      <c r="AC120" s="4">
        <f t="shared" si="36"/>
        <v>1002748.6153539836</v>
      </c>
      <c r="AD120" s="4">
        <f t="shared" si="37"/>
        <v>1748759.9999999655</v>
      </c>
      <c r="AE120" s="5">
        <f t="shared" si="38"/>
        <v>-746011.38464598195</v>
      </c>
      <c r="AF120" s="3" t="str">
        <f t="shared" si="39"/>
        <v>N</v>
      </c>
      <c r="AH120" s="4">
        <f t="shared" si="40"/>
        <v>292649679.90261996</v>
      </c>
      <c r="AI120" s="4">
        <f t="shared" si="41"/>
        <v>510371240.00000006</v>
      </c>
    </row>
    <row r="121" spans="1:35">
      <c r="A121" s="3">
        <v>119</v>
      </c>
      <c r="B121" s="3" t="s">
        <v>786</v>
      </c>
      <c r="C121" s="3" t="s">
        <v>667</v>
      </c>
      <c r="D121" s="4">
        <v>1820</v>
      </c>
      <c r="E121" s="4">
        <v>39587187.905861959</v>
      </c>
      <c r="F121" s="4">
        <v>0</v>
      </c>
      <c r="G121" s="4">
        <v>0</v>
      </c>
      <c r="H121" s="4">
        <f t="shared" si="24"/>
        <v>39587187.905861959</v>
      </c>
      <c r="I121" s="4">
        <f t="shared" si="25"/>
        <v>21751.202146077998</v>
      </c>
      <c r="J121" s="4">
        <v>1927.3</v>
      </c>
      <c r="K121" s="5">
        <f t="shared" si="26"/>
        <v>1820</v>
      </c>
      <c r="L121" s="4">
        <v>24950</v>
      </c>
      <c r="M121" s="4">
        <f t="shared" si="22"/>
        <v>45409000</v>
      </c>
      <c r="N121" s="4">
        <f t="shared" si="27"/>
        <v>5821812.0941380439</v>
      </c>
      <c r="O121" s="4">
        <f t="shared" si="28"/>
        <v>5821812.0941380439</v>
      </c>
      <c r="P121" s="4">
        <f t="shared" si="29"/>
        <v>0</v>
      </c>
      <c r="T121" s="4">
        <f t="shared" si="30"/>
        <v>21751.202146077998</v>
      </c>
      <c r="U121" s="4">
        <f t="shared" si="31"/>
        <v>5821812.0941380439</v>
      </c>
      <c r="V121" s="4">
        <f t="shared" si="32"/>
        <v>5821812.0941380439</v>
      </c>
      <c r="W121" s="4">
        <f t="shared" si="33"/>
        <v>0</v>
      </c>
      <c r="X121" s="5">
        <f t="shared" si="34"/>
        <v>45409000</v>
      </c>
      <c r="Y121" s="5">
        <f t="shared" si="35"/>
        <v>0</v>
      </c>
      <c r="Z121" s="5">
        <f t="shared" si="35"/>
        <v>0</v>
      </c>
      <c r="AB121" s="5">
        <f t="shared" si="23"/>
        <v>-107.29999999999995</v>
      </c>
      <c r="AC121" s="4">
        <f t="shared" si="36"/>
        <v>-2333903.9902741681</v>
      </c>
      <c r="AD121" s="4">
        <f t="shared" si="37"/>
        <v>-2677134.9999999991</v>
      </c>
      <c r="AE121" s="5">
        <f t="shared" si="38"/>
        <v>0</v>
      </c>
      <c r="AF121" s="3" t="str">
        <f t="shared" si="39"/>
        <v>N</v>
      </c>
      <c r="AH121" s="4">
        <f t="shared" si="40"/>
        <v>39587187.905861959</v>
      </c>
      <c r="AI121" s="4">
        <f t="shared" si="41"/>
        <v>45409000</v>
      </c>
    </row>
    <row r="122" spans="1:35">
      <c r="A122" s="3">
        <v>120</v>
      </c>
      <c r="B122" s="3" t="s">
        <v>787</v>
      </c>
      <c r="C122" s="3" t="s">
        <v>667</v>
      </c>
      <c r="D122" s="4">
        <v>800</v>
      </c>
      <c r="E122" s="4">
        <v>39918833.058998875</v>
      </c>
      <c r="F122" s="4">
        <v>0</v>
      </c>
      <c r="G122" s="4">
        <v>0</v>
      </c>
      <c r="H122" s="4">
        <f t="shared" si="24"/>
        <v>39918833.058998875</v>
      </c>
      <c r="I122" s="4">
        <f t="shared" si="25"/>
        <v>49898.541323748592</v>
      </c>
      <c r="J122" s="4">
        <v>785.3</v>
      </c>
      <c r="K122" s="5">
        <f t="shared" si="26"/>
        <v>785.3</v>
      </c>
      <c r="L122" s="4">
        <v>70500</v>
      </c>
      <c r="M122" s="4">
        <f t="shared" si="22"/>
        <v>56097158.557459101</v>
      </c>
      <c r="N122" s="4">
        <f t="shared" si="27"/>
        <v>16178325.498460229</v>
      </c>
      <c r="O122" s="4">
        <f t="shared" si="28"/>
        <v>16178325.498460229</v>
      </c>
      <c r="P122" s="4">
        <f t="shared" si="29"/>
        <v>0</v>
      </c>
      <c r="T122" s="4">
        <f t="shared" si="30"/>
        <v>49898.541323748592</v>
      </c>
      <c r="U122" s="4">
        <f t="shared" si="31"/>
        <v>16178325.498460229</v>
      </c>
      <c r="V122" s="4">
        <f t="shared" si="32"/>
        <v>16178325.498460229</v>
      </c>
      <c r="W122" s="4">
        <f t="shared" si="33"/>
        <v>0</v>
      </c>
      <c r="X122" s="5">
        <f t="shared" si="34"/>
        <v>56097158.557459101</v>
      </c>
      <c r="Y122" s="5">
        <f t="shared" si="35"/>
        <v>0</v>
      </c>
      <c r="Z122" s="5">
        <f t="shared" si="35"/>
        <v>0</v>
      </c>
      <c r="AB122" s="5">
        <f t="shared" si="23"/>
        <v>14.700000000000045</v>
      </c>
      <c r="AC122" s="4">
        <f t="shared" si="36"/>
        <v>733508.55745910655</v>
      </c>
      <c r="AD122" s="4">
        <f t="shared" si="37"/>
        <v>1036350.0000000033</v>
      </c>
      <c r="AE122" s="5">
        <f t="shared" si="38"/>
        <v>-302841.44254089671</v>
      </c>
      <c r="AF122" s="3" t="str">
        <f t="shared" si="39"/>
        <v>N</v>
      </c>
      <c r="AH122" s="4">
        <f t="shared" si="40"/>
        <v>39185324.501539767</v>
      </c>
      <c r="AI122" s="4">
        <f t="shared" si="41"/>
        <v>55363650</v>
      </c>
    </row>
    <row r="123" spans="1:35">
      <c r="A123" s="3">
        <v>121</v>
      </c>
      <c r="B123" s="3" t="s">
        <v>788</v>
      </c>
      <c r="C123" s="3" t="s">
        <v>667</v>
      </c>
      <c r="D123" s="4">
        <v>1900</v>
      </c>
      <c r="E123" s="4">
        <v>20296678.393226933</v>
      </c>
      <c r="F123" s="4">
        <v>0</v>
      </c>
      <c r="G123" s="4">
        <v>0</v>
      </c>
      <c r="H123" s="4">
        <f t="shared" si="24"/>
        <v>20296678.393226933</v>
      </c>
      <c r="I123" s="4">
        <f t="shared" si="25"/>
        <v>10682.462312224701</v>
      </c>
      <c r="J123" s="4">
        <v>1851.9</v>
      </c>
      <c r="K123" s="5">
        <f t="shared" si="26"/>
        <v>1851.9</v>
      </c>
      <c r="L123" s="4">
        <v>11900</v>
      </c>
      <c r="M123" s="4">
        <f t="shared" si="22"/>
        <v>22551436.43721801</v>
      </c>
      <c r="N123" s="4">
        <f t="shared" si="27"/>
        <v>2254758.0439910758</v>
      </c>
      <c r="O123" s="4">
        <f t="shared" si="28"/>
        <v>2254758.0439910758</v>
      </c>
      <c r="P123" s="4">
        <f t="shared" si="29"/>
        <v>0</v>
      </c>
      <c r="T123" s="4">
        <f t="shared" si="30"/>
        <v>10682.462312224701</v>
      </c>
      <c r="U123" s="4">
        <f t="shared" si="31"/>
        <v>2254758.0439910758</v>
      </c>
      <c r="V123" s="4">
        <f t="shared" si="32"/>
        <v>2254758.0439910758</v>
      </c>
      <c r="W123" s="4">
        <f t="shared" si="33"/>
        <v>0</v>
      </c>
      <c r="X123" s="5">
        <f t="shared" si="34"/>
        <v>22551436.43721801</v>
      </c>
      <c r="Y123" s="5">
        <f t="shared" si="35"/>
        <v>0</v>
      </c>
      <c r="Z123" s="5">
        <f t="shared" si="35"/>
        <v>0</v>
      </c>
      <c r="AB123" s="5">
        <f t="shared" si="23"/>
        <v>48.099999999999909</v>
      </c>
      <c r="AC123" s="4">
        <f t="shared" si="36"/>
        <v>513826.43721800717</v>
      </c>
      <c r="AD123" s="4">
        <f t="shared" si="37"/>
        <v>572389.99999999895</v>
      </c>
      <c r="AE123" s="5">
        <f t="shared" si="38"/>
        <v>-58563.562781991786</v>
      </c>
      <c r="AF123" s="3" t="str">
        <f t="shared" si="39"/>
        <v>N</v>
      </c>
      <c r="AH123" s="4">
        <f t="shared" si="40"/>
        <v>19782851.956008926</v>
      </c>
      <c r="AI123" s="4">
        <f t="shared" si="41"/>
        <v>22037610</v>
      </c>
    </row>
    <row r="124" spans="1:35">
      <c r="A124" s="3">
        <v>122</v>
      </c>
      <c r="B124" s="3" t="s">
        <v>789</v>
      </c>
      <c r="C124" s="3" t="s">
        <v>667</v>
      </c>
      <c r="D124" s="4">
        <v>400</v>
      </c>
      <c r="E124" s="4">
        <v>5643610.2944146916</v>
      </c>
      <c r="F124" s="4">
        <v>0</v>
      </c>
      <c r="G124" s="4">
        <v>0</v>
      </c>
      <c r="H124" s="4">
        <f t="shared" si="24"/>
        <v>5643610.2944146916</v>
      </c>
      <c r="I124" s="4">
        <f t="shared" si="25"/>
        <v>14109.025736036729</v>
      </c>
      <c r="J124" s="4">
        <v>378</v>
      </c>
      <c r="K124" s="5">
        <f t="shared" si="26"/>
        <v>378</v>
      </c>
      <c r="L124" s="4">
        <v>14900</v>
      </c>
      <c r="M124" s="4">
        <f t="shared" si="22"/>
        <v>5942598.5661928086</v>
      </c>
      <c r="N124" s="4">
        <f t="shared" si="27"/>
        <v>298988.27177811658</v>
      </c>
      <c r="O124" s="4">
        <f t="shared" si="28"/>
        <v>298988.27177811658</v>
      </c>
      <c r="P124" s="4">
        <f t="shared" si="29"/>
        <v>0</v>
      </c>
      <c r="T124" s="4">
        <f t="shared" si="30"/>
        <v>14109.025736036729</v>
      </c>
      <c r="U124" s="4">
        <f t="shared" si="31"/>
        <v>298988.27177811658</v>
      </c>
      <c r="V124" s="4">
        <f t="shared" si="32"/>
        <v>298988.27177811658</v>
      </c>
      <c r="W124" s="4">
        <f t="shared" si="33"/>
        <v>0</v>
      </c>
      <c r="X124" s="5">
        <f t="shared" si="34"/>
        <v>5942598.5661928086</v>
      </c>
      <c r="Y124" s="5">
        <f t="shared" si="35"/>
        <v>0</v>
      </c>
      <c r="Z124" s="5">
        <f t="shared" si="35"/>
        <v>0</v>
      </c>
      <c r="AB124" s="5">
        <f t="shared" si="23"/>
        <v>22</v>
      </c>
      <c r="AC124" s="4">
        <f t="shared" si="36"/>
        <v>310398.56619280804</v>
      </c>
      <c r="AD124" s="4">
        <f t="shared" si="37"/>
        <v>327800</v>
      </c>
      <c r="AE124" s="5">
        <f t="shared" si="38"/>
        <v>-17401.433807191963</v>
      </c>
      <c r="AF124" s="3" t="str">
        <f t="shared" si="39"/>
        <v>N</v>
      </c>
      <c r="AH124" s="4">
        <f t="shared" si="40"/>
        <v>5333211.7282218831</v>
      </c>
      <c r="AI124" s="4">
        <f t="shared" si="41"/>
        <v>5632200</v>
      </c>
    </row>
    <row r="125" spans="1:35">
      <c r="A125" s="3">
        <v>123</v>
      </c>
      <c r="B125" s="3" t="s">
        <v>790</v>
      </c>
      <c r="C125" s="3" t="s">
        <v>667</v>
      </c>
      <c r="D125" s="4">
        <v>9800</v>
      </c>
      <c r="E125" s="4">
        <v>150999328.72726458</v>
      </c>
      <c r="F125" s="4">
        <v>0</v>
      </c>
      <c r="G125" s="4">
        <v>0</v>
      </c>
      <c r="H125" s="4">
        <f t="shared" si="24"/>
        <v>150999328.72726458</v>
      </c>
      <c r="I125" s="4">
        <f t="shared" si="25"/>
        <v>15408.094768088224</v>
      </c>
      <c r="J125" s="4">
        <v>9722.9</v>
      </c>
      <c r="K125" s="5">
        <f t="shared" si="26"/>
        <v>9722.9</v>
      </c>
      <c r="L125" s="4">
        <v>21200</v>
      </c>
      <c r="M125" s="4">
        <f t="shared" si="22"/>
        <v>207313444.1066196</v>
      </c>
      <c r="N125" s="4">
        <f t="shared" si="27"/>
        <v>56314115.379355006</v>
      </c>
      <c r="O125" s="4">
        <f t="shared" si="28"/>
        <v>56314115.379355006</v>
      </c>
      <c r="P125" s="4">
        <f t="shared" si="29"/>
        <v>0</v>
      </c>
      <c r="T125" s="4">
        <f t="shared" si="30"/>
        <v>15408.094768088224</v>
      </c>
      <c r="U125" s="4">
        <f t="shared" si="31"/>
        <v>56314115.379355006</v>
      </c>
      <c r="V125" s="4">
        <f t="shared" si="32"/>
        <v>56314115.379355006</v>
      </c>
      <c r="W125" s="4">
        <f t="shared" si="33"/>
        <v>0</v>
      </c>
      <c r="X125" s="5">
        <f t="shared" si="34"/>
        <v>207313444.1066196</v>
      </c>
      <c r="Y125" s="5">
        <f t="shared" si="35"/>
        <v>0</v>
      </c>
      <c r="Z125" s="5">
        <f t="shared" si="35"/>
        <v>0</v>
      </c>
      <c r="AB125" s="5">
        <f t="shared" si="23"/>
        <v>77.100000000000364</v>
      </c>
      <c r="AC125" s="4">
        <f t="shared" si="36"/>
        <v>1187964.1066196077</v>
      </c>
      <c r="AD125" s="4">
        <f t="shared" si="37"/>
        <v>1634520.0000000077</v>
      </c>
      <c r="AE125" s="5">
        <f t="shared" si="38"/>
        <v>-446555.89338040003</v>
      </c>
      <c r="AF125" s="3" t="str">
        <f t="shared" si="39"/>
        <v>N</v>
      </c>
      <c r="AH125" s="4">
        <f t="shared" si="40"/>
        <v>149811364.62064499</v>
      </c>
      <c r="AI125" s="4">
        <f t="shared" si="41"/>
        <v>206125480</v>
      </c>
    </row>
    <row r="126" spans="1:35">
      <c r="A126" s="3">
        <v>124</v>
      </c>
      <c r="B126" s="3" t="s">
        <v>791</v>
      </c>
      <c r="C126" s="3" t="s">
        <v>667</v>
      </c>
      <c r="D126" s="4">
        <v>70700</v>
      </c>
      <c r="E126" s="4">
        <v>584414123.47542727</v>
      </c>
      <c r="F126" s="4">
        <v>0</v>
      </c>
      <c r="G126" s="4">
        <v>0</v>
      </c>
      <c r="H126" s="4">
        <f t="shared" si="24"/>
        <v>584414123.47542727</v>
      </c>
      <c r="I126" s="4">
        <f t="shared" si="25"/>
        <v>8266.1120717882222</v>
      </c>
      <c r="J126" s="4">
        <v>71644</v>
      </c>
      <c r="K126" s="5">
        <f t="shared" si="26"/>
        <v>70700</v>
      </c>
      <c r="L126" s="4">
        <v>13200</v>
      </c>
      <c r="M126" s="4">
        <f t="shared" si="22"/>
        <v>933240000</v>
      </c>
      <c r="N126" s="4">
        <f t="shared" si="27"/>
        <v>348825876.52457267</v>
      </c>
      <c r="O126" s="4">
        <f t="shared" si="28"/>
        <v>348825876.52457267</v>
      </c>
      <c r="P126" s="4">
        <f t="shared" si="29"/>
        <v>0</v>
      </c>
      <c r="T126" s="4">
        <f t="shared" si="30"/>
        <v>8266.1120717882222</v>
      </c>
      <c r="U126" s="4">
        <f t="shared" si="31"/>
        <v>348825876.52457267</v>
      </c>
      <c r="V126" s="4">
        <f t="shared" si="32"/>
        <v>348825876.52457267</v>
      </c>
      <c r="W126" s="4">
        <f t="shared" si="33"/>
        <v>0</v>
      </c>
      <c r="X126" s="5">
        <f t="shared" si="34"/>
        <v>933240000</v>
      </c>
      <c r="Y126" s="5">
        <f t="shared" si="35"/>
        <v>0</v>
      </c>
      <c r="Z126" s="5">
        <f t="shared" si="35"/>
        <v>0</v>
      </c>
      <c r="AB126" s="5">
        <f t="shared" si="23"/>
        <v>-944</v>
      </c>
      <c r="AC126" s="4">
        <f t="shared" si="36"/>
        <v>-7803209.7957680821</v>
      </c>
      <c r="AD126" s="4">
        <f t="shared" si="37"/>
        <v>-12460800</v>
      </c>
      <c r="AE126" s="5">
        <f t="shared" si="38"/>
        <v>0</v>
      </c>
      <c r="AF126" s="3" t="str">
        <f t="shared" si="39"/>
        <v>N</v>
      </c>
      <c r="AH126" s="4">
        <f t="shared" si="40"/>
        <v>584414123.47542727</v>
      </c>
      <c r="AI126" s="4">
        <f t="shared" si="41"/>
        <v>933240000</v>
      </c>
    </row>
    <row r="127" spans="1:35">
      <c r="A127" s="3">
        <v>125</v>
      </c>
      <c r="B127" s="3" t="s">
        <v>792</v>
      </c>
      <c r="C127" s="3" t="s">
        <v>667</v>
      </c>
      <c r="D127" s="4">
        <v>10850</v>
      </c>
      <c r="E127" s="4">
        <v>97882462.154712617</v>
      </c>
      <c r="F127" s="4">
        <v>0</v>
      </c>
      <c r="G127" s="4">
        <v>0</v>
      </c>
      <c r="H127" s="4">
        <f t="shared" si="24"/>
        <v>97882462.154712617</v>
      </c>
      <c r="I127" s="4">
        <f t="shared" si="25"/>
        <v>9021.4250833836522</v>
      </c>
      <c r="J127" s="4">
        <v>10814.5</v>
      </c>
      <c r="K127" s="5">
        <f t="shared" si="26"/>
        <v>10814.5</v>
      </c>
      <c r="L127" s="4">
        <v>37600</v>
      </c>
      <c r="M127" s="4">
        <f t="shared" si="22"/>
        <v>406945460.59046012</v>
      </c>
      <c r="N127" s="4">
        <f t="shared" si="27"/>
        <v>309062998.4357475</v>
      </c>
      <c r="O127" s="4">
        <f t="shared" si="28"/>
        <v>309062998.4357475</v>
      </c>
      <c r="P127" s="4">
        <f t="shared" si="29"/>
        <v>0</v>
      </c>
      <c r="T127" s="4">
        <f t="shared" si="30"/>
        <v>9021.4250833836522</v>
      </c>
      <c r="U127" s="4">
        <f t="shared" si="31"/>
        <v>309062998.4357475</v>
      </c>
      <c r="V127" s="4">
        <f t="shared" si="32"/>
        <v>309062998.4357475</v>
      </c>
      <c r="W127" s="4">
        <f t="shared" si="33"/>
        <v>0</v>
      </c>
      <c r="X127" s="5">
        <f t="shared" si="34"/>
        <v>406945460.59046012</v>
      </c>
      <c r="Y127" s="5">
        <f t="shared" si="35"/>
        <v>0</v>
      </c>
      <c r="Z127" s="5">
        <f t="shared" si="35"/>
        <v>0</v>
      </c>
      <c r="AB127" s="5">
        <f t="shared" si="23"/>
        <v>35.5</v>
      </c>
      <c r="AC127" s="4">
        <f t="shared" si="36"/>
        <v>320260.59046011965</v>
      </c>
      <c r="AD127" s="4">
        <f t="shared" si="37"/>
        <v>1334800</v>
      </c>
      <c r="AE127" s="5">
        <f t="shared" si="38"/>
        <v>-1014539.4095398803</v>
      </c>
      <c r="AF127" s="3" t="str">
        <f t="shared" si="39"/>
        <v>N</v>
      </c>
      <c r="AH127" s="4">
        <f t="shared" si="40"/>
        <v>97562201.564252511</v>
      </c>
      <c r="AI127" s="4">
        <f t="shared" si="41"/>
        <v>406625200</v>
      </c>
    </row>
    <row r="128" spans="1:35">
      <c r="A128" s="3">
        <v>126</v>
      </c>
      <c r="B128" s="3" t="s">
        <v>793</v>
      </c>
      <c r="C128" s="3" t="s">
        <v>667</v>
      </c>
      <c r="D128" s="4">
        <v>191000</v>
      </c>
      <c r="E128" s="4">
        <v>833215623.31712914</v>
      </c>
      <c r="F128" s="4">
        <v>0</v>
      </c>
      <c r="G128" s="4">
        <v>0</v>
      </c>
      <c r="H128" s="4">
        <f t="shared" si="24"/>
        <v>833215623.31712914</v>
      </c>
      <c r="I128" s="4">
        <f t="shared" si="25"/>
        <v>4362.3854623933466</v>
      </c>
      <c r="J128" s="4">
        <v>190890</v>
      </c>
      <c r="K128" s="5">
        <f t="shared" si="26"/>
        <v>190890</v>
      </c>
      <c r="L128" s="4">
        <v>1500</v>
      </c>
      <c r="M128" s="4">
        <f t="shared" si="22"/>
        <v>286814862.40086317</v>
      </c>
      <c r="N128" s="4">
        <f t="shared" si="27"/>
        <v>-546400760.91626596</v>
      </c>
      <c r="O128" s="4">
        <f t="shared" si="28"/>
        <v>0</v>
      </c>
      <c r="P128" s="4">
        <f t="shared" si="29"/>
        <v>-546400760.91626596</v>
      </c>
      <c r="T128" s="4">
        <f t="shared" si="30"/>
        <v>4362.3854623933466</v>
      </c>
      <c r="U128" s="4">
        <f t="shared" si="31"/>
        <v>-546400760.91626596</v>
      </c>
      <c r="V128" s="4">
        <f t="shared" si="32"/>
        <v>0</v>
      </c>
      <c r="W128" s="4">
        <f t="shared" si="33"/>
        <v>-546400760.91626596</v>
      </c>
      <c r="X128" s="5">
        <f t="shared" si="34"/>
        <v>286814862.40086317</v>
      </c>
      <c r="Y128" s="5">
        <f t="shared" si="35"/>
        <v>0</v>
      </c>
      <c r="Z128" s="5">
        <f t="shared" si="35"/>
        <v>0</v>
      </c>
      <c r="AB128" s="5">
        <f t="shared" si="23"/>
        <v>110</v>
      </c>
      <c r="AC128" s="4">
        <f t="shared" si="36"/>
        <v>479862.40086326812</v>
      </c>
      <c r="AD128" s="4">
        <f t="shared" si="37"/>
        <v>165000</v>
      </c>
      <c r="AE128" s="5">
        <f t="shared" si="38"/>
        <v>314862.40086326812</v>
      </c>
      <c r="AF128" s="3" t="str">
        <f t="shared" si="39"/>
        <v>Y</v>
      </c>
      <c r="AH128" s="4">
        <f t="shared" si="40"/>
        <v>832735760.91626596</v>
      </c>
      <c r="AI128" s="4">
        <f t="shared" si="41"/>
        <v>286335000</v>
      </c>
    </row>
    <row r="129" spans="1:35">
      <c r="A129" s="3">
        <v>127</v>
      </c>
      <c r="B129" s="3" t="s">
        <v>794</v>
      </c>
      <c r="C129" s="3" t="s">
        <v>667</v>
      </c>
      <c r="D129" s="4">
        <v>5700</v>
      </c>
      <c r="E129" s="4">
        <v>26158876.442717299</v>
      </c>
      <c r="F129" s="4">
        <v>0</v>
      </c>
      <c r="G129" s="4">
        <v>0</v>
      </c>
      <c r="H129" s="4">
        <f t="shared" si="24"/>
        <v>26158876.442717299</v>
      </c>
      <c r="I129" s="4">
        <f t="shared" si="25"/>
        <v>4589.2765688977715</v>
      </c>
      <c r="J129" s="4">
        <v>5577.5</v>
      </c>
      <c r="K129" s="5">
        <f t="shared" si="26"/>
        <v>5577.5</v>
      </c>
      <c r="L129" s="4">
        <v>4850</v>
      </c>
      <c r="M129" s="4">
        <f t="shared" si="22"/>
        <v>27613061.379689977</v>
      </c>
      <c r="N129" s="4">
        <f t="shared" si="27"/>
        <v>1454184.9369726793</v>
      </c>
      <c r="O129" s="4">
        <f t="shared" si="28"/>
        <v>1454184.9369726793</v>
      </c>
      <c r="P129" s="4">
        <f t="shared" si="29"/>
        <v>0</v>
      </c>
      <c r="T129" s="4">
        <f t="shared" si="30"/>
        <v>4589.2765688977715</v>
      </c>
      <c r="U129" s="4">
        <f t="shared" si="31"/>
        <v>1454184.9369726793</v>
      </c>
      <c r="V129" s="4">
        <f t="shared" si="32"/>
        <v>1454184.9369726793</v>
      </c>
      <c r="W129" s="4">
        <f t="shared" si="33"/>
        <v>0</v>
      </c>
      <c r="X129" s="5">
        <f t="shared" si="34"/>
        <v>27613061.379689977</v>
      </c>
      <c r="Y129" s="5">
        <f t="shared" si="35"/>
        <v>0</v>
      </c>
      <c r="Z129" s="5">
        <f t="shared" si="35"/>
        <v>0</v>
      </c>
      <c r="AB129" s="5">
        <f t="shared" si="23"/>
        <v>122.5</v>
      </c>
      <c r="AC129" s="4">
        <f t="shared" si="36"/>
        <v>562186.37968997704</v>
      </c>
      <c r="AD129" s="4">
        <f t="shared" si="37"/>
        <v>594125</v>
      </c>
      <c r="AE129" s="5">
        <f t="shared" si="38"/>
        <v>-31938.620310022961</v>
      </c>
      <c r="AF129" s="3" t="str">
        <f t="shared" si="39"/>
        <v>N</v>
      </c>
      <c r="AH129" s="4">
        <f t="shared" si="40"/>
        <v>25596690.063027322</v>
      </c>
      <c r="AI129" s="4">
        <f t="shared" si="41"/>
        <v>27050875</v>
      </c>
    </row>
    <row r="130" spans="1:35">
      <c r="A130" s="3">
        <v>128</v>
      </c>
      <c r="B130" s="3" t="s">
        <v>795</v>
      </c>
      <c r="C130" s="3" t="s">
        <v>667</v>
      </c>
      <c r="D130" s="4">
        <v>27700</v>
      </c>
      <c r="E130" s="4">
        <v>142719625.71206596</v>
      </c>
      <c r="F130" s="4">
        <v>0</v>
      </c>
      <c r="G130" s="4">
        <v>0</v>
      </c>
      <c r="H130" s="4">
        <f t="shared" si="24"/>
        <v>142719625.71206596</v>
      </c>
      <c r="I130" s="4">
        <f t="shared" si="25"/>
        <v>5152.3330581973269</v>
      </c>
      <c r="J130" s="4">
        <v>27650</v>
      </c>
      <c r="K130" s="5">
        <f t="shared" si="26"/>
        <v>27650</v>
      </c>
      <c r="L130" s="4">
        <v>4160</v>
      </c>
      <c r="M130" s="4">
        <f t="shared" si="22"/>
        <v>115281616.65290987</v>
      </c>
      <c r="N130" s="4">
        <f t="shared" si="27"/>
        <v>-27438009.059156086</v>
      </c>
      <c r="O130" s="4">
        <f t="shared" si="28"/>
        <v>0</v>
      </c>
      <c r="P130" s="4">
        <f t="shared" si="29"/>
        <v>-27438009.059156086</v>
      </c>
      <c r="T130" s="4">
        <f t="shared" si="30"/>
        <v>5152.3330581973269</v>
      </c>
      <c r="U130" s="4">
        <f t="shared" si="31"/>
        <v>-27438009.059156086</v>
      </c>
      <c r="V130" s="4">
        <f t="shared" si="32"/>
        <v>0</v>
      </c>
      <c r="W130" s="4">
        <f t="shared" si="33"/>
        <v>-27438009.059156086</v>
      </c>
      <c r="X130" s="5">
        <f t="shared" si="34"/>
        <v>115281616.65290987</v>
      </c>
      <c r="Y130" s="5">
        <f t="shared" si="35"/>
        <v>0</v>
      </c>
      <c r="Z130" s="5">
        <f t="shared" si="35"/>
        <v>0</v>
      </c>
      <c r="AB130" s="5">
        <f t="shared" si="23"/>
        <v>50</v>
      </c>
      <c r="AC130" s="4">
        <f t="shared" si="36"/>
        <v>257616.65290986633</v>
      </c>
      <c r="AD130" s="4">
        <f t="shared" si="37"/>
        <v>208000</v>
      </c>
      <c r="AE130" s="5">
        <f t="shared" si="38"/>
        <v>49616.65290986633</v>
      </c>
      <c r="AF130" s="3" t="str">
        <f t="shared" si="39"/>
        <v>Y</v>
      </c>
      <c r="AH130" s="4">
        <f t="shared" si="40"/>
        <v>142462009.05915609</v>
      </c>
      <c r="AI130" s="4">
        <f t="shared" si="41"/>
        <v>115024000</v>
      </c>
    </row>
    <row r="131" spans="1:35">
      <c r="A131" s="3">
        <v>129</v>
      </c>
      <c r="B131" s="3" t="s">
        <v>796</v>
      </c>
      <c r="C131" s="3" t="s">
        <v>667</v>
      </c>
      <c r="D131" s="4">
        <v>500</v>
      </c>
      <c r="E131" s="4">
        <v>3947302.6488296376</v>
      </c>
      <c r="F131" s="4">
        <v>0</v>
      </c>
      <c r="G131" s="4">
        <v>0</v>
      </c>
      <c r="H131" s="4">
        <f t="shared" si="24"/>
        <v>3947302.6488296376</v>
      </c>
      <c r="I131" s="4">
        <f t="shared" si="25"/>
        <v>7894.6052976592755</v>
      </c>
      <c r="J131" s="4">
        <v>400</v>
      </c>
      <c r="K131" s="5">
        <f t="shared" si="26"/>
        <v>400</v>
      </c>
      <c r="L131" s="4">
        <v>6970</v>
      </c>
      <c r="M131" s="4">
        <f t="shared" ref="M131:M194" si="42">(L131-I131)*K131+E131</f>
        <v>3577460.5297659272</v>
      </c>
      <c r="N131" s="4">
        <f t="shared" si="27"/>
        <v>-369842.11906371021</v>
      </c>
      <c r="O131" s="4">
        <f t="shared" si="28"/>
        <v>0</v>
      </c>
      <c r="P131" s="4">
        <f t="shared" si="29"/>
        <v>-369842.11906371021</v>
      </c>
      <c r="T131" s="4">
        <f t="shared" si="30"/>
        <v>7894.6052976592755</v>
      </c>
      <c r="U131" s="4">
        <f t="shared" si="31"/>
        <v>-369842.11906371021</v>
      </c>
      <c r="V131" s="4">
        <f t="shared" si="32"/>
        <v>0</v>
      </c>
      <c r="W131" s="4">
        <f t="shared" si="33"/>
        <v>-369842.11906371021</v>
      </c>
      <c r="X131" s="5">
        <f t="shared" si="34"/>
        <v>3577460.5297659272</v>
      </c>
      <c r="Y131" s="5">
        <f t="shared" si="35"/>
        <v>0</v>
      </c>
      <c r="Z131" s="5">
        <f t="shared" si="35"/>
        <v>0</v>
      </c>
      <c r="AB131" s="5">
        <f t="shared" ref="AB131:AB194" si="43">D131-J131</f>
        <v>100</v>
      </c>
      <c r="AC131" s="4">
        <f t="shared" si="36"/>
        <v>789460.52976592758</v>
      </c>
      <c r="AD131" s="4">
        <f t="shared" si="37"/>
        <v>697000</v>
      </c>
      <c r="AE131" s="5">
        <f t="shared" si="38"/>
        <v>92460.529765927582</v>
      </c>
      <c r="AF131" s="3" t="str">
        <f t="shared" si="39"/>
        <v>Y</v>
      </c>
      <c r="AH131" s="4">
        <f t="shared" si="40"/>
        <v>3157842.1190637103</v>
      </c>
      <c r="AI131" s="4">
        <f t="shared" si="41"/>
        <v>2788000</v>
      </c>
    </row>
    <row r="132" spans="1:35">
      <c r="A132" s="3">
        <v>130</v>
      </c>
      <c r="B132" s="3" t="s">
        <v>797</v>
      </c>
      <c r="C132" s="3" t="s">
        <v>667</v>
      </c>
      <c r="D132" s="4">
        <v>4843</v>
      </c>
      <c r="E132" s="4">
        <v>69386565.710278228</v>
      </c>
      <c r="F132" s="4">
        <v>0</v>
      </c>
      <c r="G132" s="4">
        <v>0</v>
      </c>
      <c r="H132" s="4">
        <f t="shared" ref="H132:H195" si="44">E132+F132</f>
        <v>69386565.710278228</v>
      </c>
      <c r="I132" s="4">
        <f t="shared" ref="I132:I195" si="45">E132/D132</f>
        <v>14327.186807821232</v>
      </c>
      <c r="J132" s="4">
        <v>4794.5</v>
      </c>
      <c r="K132" s="5">
        <f t="shared" ref="K132:K195" si="46">MIN(D132,J132)</f>
        <v>4794.5</v>
      </c>
      <c r="L132" s="4">
        <v>13900</v>
      </c>
      <c r="M132" s="4">
        <f t="shared" si="42"/>
        <v>67338418.560179338</v>
      </c>
      <c r="N132" s="4">
        <f t="shared" ref="N132:N195" si="47">(L132-I132)*K132</f>
        <v>-2048147.1500988964</v>
      </c>
      <c r="O132" s="4">
        <f t="shared" ref="O132:O195" si="48">IF(N132&gt;0,N132,0)</f>
        <v>0</v>
      </c>
      <c r="P132" s="4">
        <f t="shared" ref="P132:P195" si="49">IF(N132&lt;0,N132,0)</f>
        <v>-2048147.1500988964</v>
      </c>
      <c r="T132" s="4">
        <f t="shared" ref="T132:T195" si="50">H132/D132</f>
        <v>14327.186807821232</v>
      </c>
      <c r="U132" s="4">
        <f t="shared" ref="U132:U195" si="51">(L132-T132)*K132</f>
        <v>-2048147.1500988964</v>
      </c>
      <c r="V132" s="4">
        <f t="shared" ref="V132:V195" si="52">IF(U132&gt;0,U132,0)</f>
        <v>0</v>
      </c>
      <c r="W132" s="4">
        <f t="shared" ref="W132:W195" si="53">IF(U132&lt;0,U132,0)</f>
        <v>-2048147.1500988964</v>
      </c>
      <c r="X132" s="5">
        <f t="shared" ref="X132:X195" si="54">H132+U132</f>
        <v>67338418.560179338</v>
      </c>
      <c r="Y132" s="5">
        <f t="shared" ref="Y132:Z195" si="55">O132-V132</f>
        <v>0</v>
      </c>
      <c r="Z132" s="5">
        <f t="shared" si="55"/>
        <v>0</v>
      </c>
      <c r="AB132" s="5">
        <f t="shared" si="43"/>
        <v>48.5</v>
      </c>
      <c r="AC132" s="4">
        <f t="shared" ref="AC132:AC195" si="56">T132*AB132</f>
        <v>694868.56017932971</v>
      </c>
      <c r="AD132" s="4">
        <f t="shared" ref="AD132:AD195" si="57">L132*AB132</f>
        <v>674150</v>
      </c>
      <c r="AE132" s="5">
        <f t="shared" ref="AE132:AE195" si="58">IF(AB132&gt;0,AC132-AD132,0)</f>
        <v>20718.56017932971</v>
      </c>
      <c r="AF132" s="3" t="str">
        <f t="shared" ref="AF132:AF195" si="59">IF(AE132&gt;0,"Y","N")</f>
        <v>Y</v>
      </c>
      <c r="AH132" s="4">
        <f t="shared" ref="AH132:AH195" si="60">K132*T132</f>
        <v>68691697.15009889</v>
      </c>
      <c r="AI132" s="4">
        <f t="shared" ref="AI132:AI195" si="61">K132*L132</f>
        <v>66643550</v>
      </c>
    </row>
    <row r="133" spans="1:35">
      <c r="A133" s="3">
        <v>131</v>
      </c>
      <c r="B133" s="3" t="s">
        <v>798</v>
      </c>
      <c r="C133" s="3" t="s">
        <v>667</v>
      </c>
      <c r="D133" s="4">
        <v>49713</v>
      </c>
      <c r="E133" s="4">
        <v>434615497.89732665</v>
      </c>
      <c r="F133" s="4">
        <v>0</v>
      </c>
      <c r="G133" s="4">
        <v>0</v>
      </c>
      <c r="H133" s="4">
        <f t="shared" si="44"/>
        <v>434615497.89732665</v>
      </c>
      <c r="I133" s="4">
        <f t="shared" si="45"/>
        <v>8742.4918612299934</v>
      </c>
      <c r="J133" s="4">
        <v>49686.1</v>
      </c>
      <c r="K133" s="5">
        <f t="shared" si="46"/>
        <v>49686.1</v>
      </c>
      <c r="L133" s="4">
        <v>7870</v>
      </c>
      <c r="M133" s="4">
        <f t="shared" si="42"/>
        <v>391264780.03106707</v>
      </c>
      <c r="N133" s="4">
        <f t="shared" si="47"/>
        <v>-43350717.866259575</v>
      </c>
      <c r="O133" s="4">
        <f t="shared" si="48"/>
        <v>0</v>
      </c>
      <c r="P133" s="4">
        <f t="shared" si="49"/>
        <v>-43350717.866259575</v>
      </c>
      <c r="T133" s="4">
        <f t="shared" si="50"/>
        <v>8742.4918612299934</v>
      </c>
      <c r="U133" s="4">
        <f t="shared" si="51"/>
        <v>-43350717.866259575</v>
      </c>
      <c r="V133" s="4">
        <f t="shared" si="52"/>
        <v>0</v>
      </c>
      <c r="W133" s="4">
        <f t="shared" si="53"/>
        <v>-43350717.866259575</v>
      </c>
      <c r="X133" s="5">
        <f t="shared" si="54"/>
        <v>391264780.03106707</v>
      </c>
      <c r="Y133" s="5">
        <f t="shared" si="55"/>
        <v>0</v>
      </c>
      <c r="Z133" s="5">
        <f t="shared" si="55"/>
        <v>0</v>
      </c>
      <c r="AB133" s="5">
        <f t="shared" si="43"/>
        <v>26.900000000001455</v>
      </c>
      <c r="AC133" s="4">
        <f t="shared" si="56"/>
        <v>235173.03106709954</v>
      </c>
      <c r="AD133" s="4">
        <f t="shared" si="57"/>
        <v>211703.00000001147</v>
      </c>
      <c r="AE133" s="5">
        <f t="shared" si="58"/>
        <v>23470.031067088072</v>
      </c>
      <c r="AF133" s="3" t="str">
        <f t="shared" si="59"/>
        <v>Y</v>
      </c>
      <c r="AH133" s="4">
        <f t="shared" si="60"/>
        <v>434380324.86625957</v>
      </c>
      <c r="AI133" s="4">
        <f t="shared" si="61"/>
        <v>391029607</v>
      </c>
    </row>
    <row r="134" spans="1:35">
      <c r="A134" s="3">
        <v>132</v>
      </c>
      <c r="B134" s="3" t="s">
        <v>799</v>
      </c>
      <c r="C134" s="3" t="s">
        <v>667</v>
      </c>
      <c r="D134" s="4">
        <v>1224</v>
      </c>
      <c r="E134" s="4">
        <v>5896325.2790051159</v>
      </c>
      <c r="F134" s="4">
        <v>0</v>
      </c>
      <c r="G134" s="4">
        <v>0</v>
      </c>
      <c r="H134" s="4">
        <f t="shared" si="44"/>
        <v>5896325.2790051159</v>
      </c>
      <c r="I134" s="4">
        <f t="shared" si="45"/>
        <v>4817.2592148734602</v>
      </c>
      <c r="J134" s="4">
        <v>1168.4000000000001</v>
      </c>
      <c r="K134" s="5">
        <f t="shared" si="46"/>
        <v>1168.4000000000001</v>
      </c>
      <c r="L134" s="4">
        <v>7700</v>
      </c>
      <c r="M134" s="4">
        <f t="shared" si="42"/>
        <v>9264519.6123469658</v>
      </c>
      <c r="N134" s="4">
        <f t="shared" si="47"/>
        <v>3368194.3333418495</v>
      </c>
      <c r="O134" s="4">
        <f t="shared" si="48"/>
        <v>3368194.3333418495</v>
      </c>
      <c r="P134" s="4">
        <f t="shared" si="49"/>
        <v>0</v>
      </c>
      <c r="T134" s="4">
        <f t="shared" si="50"/>
        <v>4817.2592148734602</v>
      </c>
      <c r="U134" s="4">
        <f t="shared" si="51"/>
        <v>3368194.3333418495</v>
      </c>
      <c r="V134" s="4">
        <f t="shared" si="52"/>
        <v>3368194.3333418495</v>
      </c>
      <c r="W134" s="4">
        <f t="shared" si="53"/>
        <v>0</v>
      </c>
      <c r="X134" s="5">
        <f t="shared" si="54"/>
        <v>9264519.6123469658</v>
      </c>
      <c r="Y134" s="5">
        <f t="shared" si="55"/>
        <v>0</v>
      </c>
      <c r="Z134" s="5">
        <f t="shared" si="55"/>
        <v>0</v>
      </c>
      <c r="AB134" s="5">
        <f t="shared" si="43"/>
        <v>55.599999999999909</v>
      </c>
      <c r="AC134" s="4">
        <f t="shared" si="56"/>
        <v>267839.61234696396</v>
      </c>
      <c r="AD134" s="4">
        <f t="shared" si="57"/>
        <v>428119.9999999993</v>
      </c>
      <c r="AE134" s="5">
        <f t="shared" si="58"/>
        <v>-160280.38765303534</v>
      </c>
      <c r="AF134" s="3" t="str">
        <f t="shared" si="59"/>
        <v>N</v>
      </c>
      <c r="AH134" s="4">
        <f t="shared" si="60"/>
        <v>5628485.666658151</v>
      </c>
      <c r="AI134" s="4">
        <f t="shared" si="61"/>
        <v>8996680</v>
      </c>
    </row>
    <row r="135" spans="1:35">
      <c r="A135" s="3">
        <v>133</v>
      </c>
      <c r="B135" s="3" t="s">
        <v>800</v>
      </c>
      <c r="C135" s="3" t="s">
        <v>667</v>
      </c>
      <c r="D135" s="4">
        <v>2700</v>
      </c>
      <c r="E135" s="4">
        <v>67487004.496540576</v>
      </c>
      <c r="F135" s="4">
        <v>0</v>
      </c>
      <c r="G135" s="4">
        <v>0</v>
      </c>
      <c r="H135" s="4">
        <f t="shared" si="44"/>
        <v>67487004.496540576</v>
      </c>
      <c r="I135" s="4">
        <f t="shared" si="45"/>
        <v>24995.186850570582</v>
      </c>
      <c r="J135" s="4">
        <v>2657.1</v>
      </c>
      <c r="K135" s="5">
        <f t="shared" si="46"/>
        <v>2657.1</v>
      </c>
      <c r="L135" s="4">
        <v>34200</v>
      </c>
      <c r="M135" s="4">
        <f t="shared" si="42"/>
        <v>91945113.515889481</v>
      </c>
      <c r="N135" s="4">
        <f t="shared" si="47"/>
        <v>24458109.019348904</v>
      </c>
      <c r="O135" s="4">
        <f t="shared" si="48"/>
        <v>24458109.019348904</v>
      </c>
      <c r="P135" s="4">
        <f t="shared" si="49"/>
        <v>0</v>
      </c>
      <c r="T135" s="4">
        <f t="shared" si="50"/>
        <v>24995.186850570582</v>
      </c>
      <c r="U135" s="4">
        <f t="shared" si="51"/>
        <v>24458109.019348904</v>
      </c>
      <c r="V135" s="4">
        <f t="shared" si="52"/>
        <v>24458109.019348904</v>
      </c>
      <c r="W135" s="4">
        <f t="shared" si="53"/>
        <v>0</v>
      </c>
      <c r="X135" s="5">
        <f t="shared" si="54"/>
        <v>91945113.515889481</v>
      </c>
      <c r="Y135" s="5">
        <f t="shared" si="55"/>
        <v>0</v>
      </c>
      <c r="Z135" s="5">
        <f t="shared" si="55"/>
        <v>0</v>
      </c>
      <c r="AB135" s="5">
        <f t="shared" si="43"/>
        <v>42.900000000000091</v>
      </c>
      <c r="AC135" s="4">
        <f t="shared" si="56"/>
        <v>1072293.5158894802</v>
      </c>
      <c r="AD135" s="4">
        <f t="shared" si="57"/>
        <v>1467180.000000003</v>
      </c>
      <c r="AE135" s="5">
        <f t="shared" si="58"/>
        <v>-394886.48411052278</v>
      </c>
      <c r="AF135" s="3" t="str">
        <f t="shared" si="59"/>
        <v>N</v>
      </c>
      <c r="AH135" s="4">
        <f t="shared" si="60"/>
        <v>66414710.980651096</v>
      </c>
      <c r="AI135" s="4">
        <f t="shared" si="61"/>
        <v>90872820</v>
      </c>
    </row>
    <row r="136" spans="1:35">
      <c r="A136" s="3">
        <v>134</v>
      </c>
      <c r="B136" s="3" t="s">
        <v>801</v>
      </c>
      <c r="C136" s="3" t="s">
        <v>667</v>
      </c>
      <c r="D136" s="4">
        <v>12560</v>
      </c>
      <c r="E136" s="4">
        <v>158047773.71779844</v>
      </c>
      <c r="F136" s="4">
        <v>0</v>
      </c>
      <c r="G136" s="4">
        <v>0</v>
      </c>
      <c r="H136" s="4">
        <f t="shared" si="44"/>
        <v>158047773.71779844</v>
      </c>
      <c r="I136" s="4">
        <f t="shared" si="45"/>
        <v>12583.421474347009</v>
      </c>
      <c r="J136" s="4">
        <v>12436.7</v>
      </c>
      <c r="K136" s="5">
        <f t="shared" si="46"/>
        <v>12436.7</v>
      </c>
      <c r="L136" s="4">
        <v>20300</v>
      </c>
      <c r="M136" s="4">
        <f t="shared" si="42"/>
        <v>254016545.867787</v>
      </c>
      <c r="N136" s="4">
        <f t="shared" si="47"/>
        <v>95968772.149988562</v>
      </c>
      <c r="O136" s="4">
        <f t="shared" si="48"/>
        <v>95968772.149988562</v>
      </c>
      <c r="P136" s="4">
        <f t="shared" si="49"/>
        <v>0</v>
      </c>
      <c r="T136" s="4">
        <f t="shared" si="50"/>
        <v>12583.421474347009</v>
      </c>
      <c r="U136" s="4">
        <f t="shared" si="51"/>
        <v>95968772.149988562</v>
      </c>
      <c r="V136" s="4">
        <f t="shared" si="52"/>
        <v>95968772.149988562</v>
      </c>
      <c r="W136" s="4">
        <f t="shared" si="53"/>
        <v>0</v>
      </c>
      <c r="X136" s="5">
        <f t="shared" si="54"/>
        <v>254016545.867787</v>
      </c>
      <c r="Y136" s="5">
        <f t="shared" si="55"/>
        <v>0</v>
      </c>
      <c r="Z136" s="5">
        <f t="shared" si="55"/>
        <v>0</v>
      </c>
      <c r="AB136" s="5">
        <f t="shared" si="43"/>
        <v>123.29999999999927</v>
      </c>
      <c r="AC136" s="4">
        <f t="shared" si="56"/>
        <v>1551535.867786977</v>
      </c>
      <c r="AD136" s="4">
        <f t="shared" si="57"/>
        <v>2502989.9999999851</v>
      </c>
      <c r="AE136" s="5">
        <f t="shared" si="58"/>
        <v>-951454.13221300812</v>
      </c>
      <c r="AF136" s="3" t="str">
        <f t="shared" si="59"/>
        <v>N</v>
      </c>
      <c r="AH136" s="4">
        <f t="shared" si="60"/>
        <v>156496237.85001147</v>
      </c>
      <c r="AI136" s="4">
        <f t="shared" si="61"/>
        <v>252465010</v>
      </c>
    </row>
    <row r="137" spans="1:35">
      <c r="A137" s="3">
        <v>135</v>
      </c>
      <c r="B137" s="3" t="s">
        <v>802</v>
      </c>
      <c r="C137" s="3" t="s">
        <v>667</v>
      </c>
      <c r="D137" s="4">
        <v>3956</v>
      </c>
      <c r="E137" s="4">
        <v>45584797.6375833</v>
      </c>
      <c r="F137" s="4">
        <v>0</v>
      </c>
      <c r="G137" s="4">
        <v>0</v>
      </c>
      <c r="H137" s="4">
        <f t="shared" si="44"/>
        <v>45584797.6375833</v>
      </c>
      <c r="I137" s="4">
        <f t="shared" si="45"/>
        <v>11522.951880076669</v>
      </c>
      <c r="J137" s="4">
        <v>3987</v>
      </c>
      <c r="K137" s="5">
        <f t="shared" si="46"/>
        <v>3956</v>
      </c>
      <c r="L137" s="4">
        <v>32650</v>
      </c>
      <c r="M137" s="4">
        <f t="shared" si="42"/>
        <v>129163400</v>
      </c>
      <c r="N137" s="4">
        <f t="shared" si="47"/>
        <v>83578602.3624167</v>
      </c>
      <c r="O137" s="4">
        <f t="shared" si="48"/>
        <v>83578602.3624167</v>
      </c>
      <c r="P137" s="4">
        <f t="shared" si="49"/>
        <v>0</v>
      </c>
      <c r="T137" s="4">
        <f t="shared" si="50"/>
        <v>11522.951880076669</v>
      </c>
      <c r="U137" s="4">
        <f t="shared" si="51"/>
        <v>83578602.3624167</v>
      </c>
      <c r="V137" s="4">
        <f t="shared" si="52"/>
        <v>83578602.3624167</v>
      </c>
      <c r="W137" s="4">
        <f t="shared" si="53"/>
        <v>0</v>
      </c>
      <c r="X137" s="5">
        <f t="shared" si="54"/>
        <v>129163400</v>
      </c>
      <c r="Y137" s="5">
        <f t="shared" si="55"/>
        <v>0</v>
      </c>
      <c r="Z137" s="5">
        <f t="shared" si="55"/>
        <v>0</v>
      </c>
      <c r="AB137" s="5">
        <f t="shared" si="43"/>
        <v>-31</v>
      </c>
      <c r="AC137" s="4">
        <f t="shared" si="56"/>
        <v>-357211.50828237674</v>
      </c>
      <c r="AD137" s="4">
        <f t="shared" si="57"/>
        <v>-1012150</v>
      </c>
      <c r="AE137" s="5">
        <f t="shared" si="58"/>
        <v>0</v>
      </c>
      <c r="AF137" s="3" t="str">
        <f t="shared" si="59"/>
        <v>N</v>
      </c>
      <c r="AH137" s="4">
        <f t="shared" si="60"/>
        <v>45584797.6375833</v>
      </c>
      <c r="AI137" s="4">
        <f t="shared" si="61"/>
        <v>129163400</v>
      </c>
    </row>
    <row r="138" spans="1:35">
      <c r="A138" s="3">
        <v>136</v>
      </c>
      <c r="B138" s="3" t="s">
        <v>803</v>
      </c>
      <c r="C138" s="3" t="s">
        <v>667</v>
      </c>
      <c r="D138" s="4">
        <v>4550</v>
      </c>
      <c r="E138" s="4">
        <v>109140916.05256471</v>
      </c>
      <c r="F138" s="4">
        <v>0</v>
      </c>
      <c r="G138" s="4">
        <v>0</v>
      </c>
      <c r="H138" s="4">
        <f t="shared" si="44"/>
        <v>109140916.05256471</v>
      </c>
      <c r="I138" s="4">
        <f t="shared" si="45"/>
        <v>23987.014517047188</v>
      </c>
      <c r="J138" s="4">
        <v>4449.1000000000004</v>
      </c>
      <c r="K138" s="5">
        <f t="shared" si="46"/>
        <v>4449.1000000000004</v>
      </c>
      <c r="L138" s="4">
        <v>27600</v>
      </c>
      <c r="M138" s="4">
        <f t="shared" si="42"/>
        <v>125215449.76477006</v>
      </c>
      <c r="N138" s="4">
        <f t="shared" si="47"/>
        <v>16074533.712205358</v>
      </c>
      <c r="O138" s="4">
        <f t="shared" si="48"/>
        <v>16074533.712205358</v>
      </c>
      <c r="P138" s="4">
        <f t="shared" si="49"/>
        <v>0</v>
      </c>
      <c r="T138" s="4">
        <f t="shared" si="50"/>
        <v>23987.014517047188</v>
      </c>
      <c r="U138" s="4">
        <f t="shared" si="51"/>
        <v>16074533.712205358</v>
      </c>
      <c r="V138" s="4">
        <f t="shared" si="52"/>
        <v>16074533.712205358</v>
      </c>
      <c r="W138" s="4">
        <f t="shared" si="53"/>
        <v>0</v>
      </c>
      <c r="X138" s="5">
        <f t="shared" si="54"/>
        <v>125215449.76477006</v>
      </c>
      <c r="Y138" s="5">
        <f t="shared" si="55"/>
        <v>0</v>
      </c>
      <c r="Z138" s="5">
        <f t="shared" si="55"/>
        <v>0</v>
      </c>
      <c r="AB138" s="5">
        <f t="shared" si="43"/>
        <v>100.89999999999964</v>
      </c>
      <c r="AC138" s="4">
        <f t="shared" si="56"/>
        <v>2420289.7647700524</v>
      </c>
      <c r="AD138" s="4">
        <f t="shared" si="57"/>
        <v>2784839.9999999898</v>
      </c>
      <c r="AE138" s="5">
        <f t="shared" si="58"/>
        <v>-364550.23522993736</v>
      </c>
      <c r="AF138" s="3" t="str">
        <f t="shared" si="59"/>
        <v>N</v>
      </c>
      <c r="AH138" s="4">
        <f t="shared" si="60"/>
        <v>106720626.28779465</v>
      </c>
      <c r="AI138" s="4">
        <f t="shared" si="61"/>
        <v>122795160.00000001</v>
      </c>
    </row>
    <row r="139" spans="1:35">
      <c r="A139" s="3">
        <v>137</v>
      </c>
      <c r="B139" s="3" t="s">
        <v>804</v>
      </c>
      <c r="C139" s="3" t="s">
        <v>667</v>
      </c>
      <c r="D139" s="4">
        <v>2657</v>
      </c>
      <c r="E139" s="4">
        <v>24548915.991463002</v>
      </c>
      <c r="F139" s="4">
        <v>0</v>
      </c>
      <c r="G139" s="4">
        <v>0</v>
      </c>
      <c r="H139" s="4">
        <f t="shared" si="44"/>
        <v>24548915.991463002</v>
      </c>
      <c r="I139" s="4">
        <f t="shared" si="45"/>
        <v>9239.3360901253309</v>
      </c>
      <c r="J139" s="4">
        <v>2613.9</v>
      </c>
      <c r="K139" s="5">
        <f t="shared" si="46"/>
        <v>2613.9</v>
      </c>
      <c r="L139" s="4">
        <v>10400</v>
      </c>
      <c r="M139" s="4">
        <f t="shared" si="42"/>
        <v>27582775.385484401</v>
      </c>
      <c r="N139" s="4">
        <f t="shared" si="47"/>
        <v>3033859.3940213979</v>
      </c>
      <c r="O139" s="4">
        <f t="shared" si="48"/>
        <v>3033859.3940213979</v>
      </c>
      <c r="P139" s="4">
        <f t="shared" si="49"/>
        <v>0</v>
      </c>
      <c r="T139" s="4">
        <f t="shared" si="50"/>
        <v>9239.3360901253309</v>
      </c>
      <c r="U139" s="4">
        <f t="shared" si="51"/>
        <v>3033859.3940213979</v>
      </c>
      <c r="V139" s="4">
        <f t="shared" si="52"/>
        <v>3033859.3940213979</v>
      </c>
      <c r="W139" s="4">
        <f t="shared" si="53"/>
        <v>0</v>
      </c>
      <c r="X139" s="5">
        <f t="shared" si="54"/>
        <v>27582775.385484401</v>
      </c>
      <c r="Y139" s="5">
        <f t="shared" si="55"/>
        <v>0</v>
      </c>
      <c r="Z139" s="5">
        <f t="shared" si="55"/>
        <v>0</v>
      </c>
      <c r="AB139" s="5">
        <f t="shared" si="43"/>
        <v>43.099999999999909</v>
      </c>
      <c r="AC139" s="4">
        <f t="shared" si="56"/>
        <v>398215.3854844009</v>
      </c>
      <c r="AD139" s="4">
        <f t="shared" si="57"/>
        <v>448239.99999999907</v>
      </c>
      <c r="AE139" s="5">
        <f t="shared" si="58"/>
        <v>-50024.614515598165</v>
      </c>
      <c r="AF139" s="3" t="str">
        <f t="shared" si="59"/>
        <v>N</v>
      </c>
      <c r="AH139" s="4">
        <f t="shared" si="60"/>
        <v>24150700.605978604</v>
      </c>
      <c r="AI139" s="4">
        <f t="shared" si="61"/>
        <v>27184560</v>
      </c>
    </row>
    <row r="140" spans="1:35">
      <c r="A140" s="3">
        <v>138</v>
      </c>
      <c r="B140" s="3" t="s">
        <v>805</v>
      </c>
      <c r="C140" s="3" t="s">
        <v>667</v>
      </c>
      <c r="D140" s="4">
        <v>10358</v>
      </c>
      <c r="E140" s="4">
        <v>40544023.21132122</v>
      </c>
      <c r="F140" s="4">
        <v>0</v>
      </c>
      <c r="G140" s="4">
        <v>0</v>
      </c>
      <c r="H140" s="4">
        <f t="shared" si="44"/>
        <v>40544023.21132122</v>
      </c>
      <c r="I140" s="4">
        <f t="shared" si="45"/>
        <v>3914.2714048388898</v>
      </c>
      <c r="J140" s="4">
        <v>10641.3</v>
      </c>
      <c r="K140" s="5">
        <f t="shared" si="46"/>
        <v>10358</v>
      </c>
      <c r="L140" s="4">
        <v>7200</v>
      </c>
      <c r="M140" s="4">
        <f t="shared" si="42"/>
        <v>74577600</v>
      </c>
      <c r="N140" s="4">
        <f t="shared" si="47"/>
        <v>34033576.78867878</v>
      </c>
      <c r="O140" s="4">
        <f t="shared" si="48"/>
        <v>34033576.78867878</v>
      </c>
      <c r="P140" s="4">
        <f t="shared" si="49"/>
        <v>0</v>
      </c>
      <c r="T140" s="4">
        <f t="shared" si="50"/>
        <v>3914.2714048388898</v>
      </c>
      <c r="U140" s="4">
        <f t="shared" si="51"/>
        <v>34033576.78867878</v>
      </c>
      <c r="V140" s="4">
        <f t="shared" si="52"/>
        <v>34033576.78867878</v>
      </c>
      <c r="W140" s="4">
        <f t="shared" si="53"/>
        <v>0</v>
      </c>
      <c r="X140" s="5">
        <f t="shared" si="54"/>
        <v>74577600</v>
      </c>
      <c r="Y140" s="5">
        <f t="shared" si="55"/>
        <v>0</v>
      </c>
      <c r="Z140" s="5">
        <f t="shared" si="55"/>
        <v>0</v>
      </c>
      <c r="AB140" s="5">
        <f t="shared" si="43"/>
        <v>-283.29999999999927</v>
      </c>
      <c r="AC140" s="4">
        <f t="shared" si="56"/>
        <v>-1108913.0889908546</v>
      </c>
      <c r="AD140" s="4">
        <f t="shared" si="57"/>
        <v>-2039759.9999999949</v>
      </c>
      <c r="AE140" s="5">
        <f t="shared" si="58"/>
        <v>0</v>
      </c>
      <c r="AF140" s="3" t="str">
        <f t="shared" si="59"/>
        <v>N</v>
      </c>
      <c r="AH140" s="4">
        <f t="shared" si="60"/>
        <v>40544023.21132122</v>
      </c>
      <c r="AI140" s="4">
        <f t="shared" si="61"/>
        <v>74577600</v>
      </c>
    </row>
    <row r="141" spans="1:35">
      <c r="A141" s="3">
        <v>139</v>
      </c>
      <c r="B141" s="3" t="s">
        <v>806</v>
      </c>
      <c r="C141" s="3" t="s">
        <v>667</v>
      </c>
      <c r="D141" s="4">
        <v>96800</v>
      </c>
      <c r="E141" s="4">
        <v>450255479.04345298</v>
      </c>
      <c r="F141" s="4">
        <v>0</v>
      </c>
      <c r="G141" s="4">
        <v>0</v>
      </c>
      <c r="H141" s="4">
        <f t="shared" si="44"/>
        <v>450255479.04345298</v>
      </c>
      <c r="I141" s="4">
        <f t="shared" si="45"/>
        <v>4651.3995768951754</v>
      </c>
      <c r="J141" s="4">
        <v>96773.3</v>
      </c>
      <c r="K141" s="5">
        <f t="shared" si="46"/>
        <v>96773.3</v>
      </c>
      <c r="L141" s="4">
        <v>3060</v>
      </c>
      <c r="M141" s="4">
        <f t="shared" si="42"/>
        <v>296250490.36870313</v>
      </c>
      <c r="N141" s="4">
        <f t="shared" si="47"/>
        <v>-154004988.67474988</v>
      </c>
      <c r="O141" s="4">
        <f t="shared" si="48"/>
        <v>0</v>
      </c>
      <c r="P141" s="4">
        <f t="shared" si="49"/>
        <v>-154004988.67474988</v>
      </c>
      <c r="T141" s="4">
        <f t="shared" si="50"/>
        <v>4651.3995768951754</v>
      </c>
      <c r="U141" s="4">
        <f t="shared" si="51"/>
        <v>-154004988.67474988</v>
      </c>
      <c r="V141" s="4">
        <f t="shared" si="52"/>
        <v>0</v>
      </c>
      <c r="W141" s="4">
        <f t="shared" si="53"/>
        <v>-154004988.67474988</v>
      </c>
      <c r="X141" s="5">
        <f t="shared" si="54"/>
        <v>296250490.36870313</v>
      </c>
      <c r="Y141" s="5">
        <f t="shared" si="55"/>
        <v>0</v>
      </c>
      <c r="Z141" s="5">
        <f t="shared" si="55"/>
        <v>0</v>
      </c>
      <c r="AB141" s="5">
        <f t="shared" si="43"/>
        <v>26.69999999999709</v>
      </c>
      <c r="AC141" s="4">
        <f t="shared" si="56"/>
        <v>124192.36870308765</v>
      </c>
      <c r="AD141" s="4">
        <f t="shared" si="57"/>
        <v>81701.999999991094</v>
      </c>
      <c r="AE141" s="5">
        <f t="shared" si="58"/>
        <v>42490.368703096552</v>
      </c>
      <c r="AF141" s="3" t="str">
        <f t="shared" si="59"/>
        <v>Y</v>
      </c>
      <c r="AH141" s="4">
        <f t="shared" si="60"/>
        <v>450131286.67474991</v>
      </c>
      <c r="AI141" s="4">
        <f t="shared" si="61"/>
        <v>296126298</v>
      </c>
    </row>
    <row r="142" spans="1:35">
      <c r="A142" s="3">
        <v>140</v>
      </c>
      <c r="B142" s="3" t="s">
        <v>807</v>
      </c>
      <c r="C142" s="3" t="s">
        <v>667</v>
      </c>
      <c r="D142" s="4">
        <v>7700</v>
      </c>
      <c r="E142" s="4">
        <v>58199831.975931071</v>
      </c>
      <c r="F142" s="4">
        <v>0</v>
      </c>
      <c r="G142" s="4">
        <v>0</v>
      </c>
      <c r="H142" s="4">
        <f t="shared" si="44"/>
        <v>58199831.975931071</v>
      </c>
      <c r="I142" s="4">
        <f t="shared" si="45"/>
        <v>7558.4197371339051</v>
      </c>
      <c r="J142" s="4">
        <v>7945.5</v>
      </c>
      <c r="K142" s="5">
        <f t="shared" si="46"/>
        <v>7700</v>
      </c>
      <c r="L142" s="4">
        <v>5360</v>
      </c>
      <c r="M142" s="4">
        <f t="shared" si="42"/>
        <v>41272000</v>
      </c>
      <c r="N142" s="4">
        <f t="shared" si="47"/>
        <v>-16927831.975931071</v>
      </c>
      <c r="O142" s="4">
        <f t="shared" si="48"/>
        <v>0</v>
      </c>
      <c r="P142" s="4">
        <f t="shared" si="49"/>
        <v>-16927831.975931071</v>
      </c>
      <c r="T142" s="4">
        <f t="shared" si="50"/>
        <v>7558.4197371339051</v>
      </c>
      <c r="U142" s="4">
        <f t="shared" si="51"/>
        <v>-16927831.975931071</v>
      </c>
      <c r="V142" s="4">
        <f t="shared" si="52"/>
        <v>0</v>
      </c>
      <c r="W142" s="4">
        <f t="shared" si="53"/>
        <v>-16927831.975931071</v>
      </c>
      <c r="X142" s="5">
        <f t="shared" si="54"/>
        <v>41272000</v>
      </c>
      <c r="Y142" s="5">
        <f t="shared" si="55"/>
        <v>0</v>
      </c>
      <c r="Z142" s="5">
        <f t="shared" si="55"/>
        <v>0</v>
      </c>
      <c r="AB142" s="5">
        <f t="shared" si="43"/>
        <v>-245.5</v>
      </c>
      <c r="AC142" s="4">
        <f t="shared" si="56"/>
        <v>-1855592.0454663737</v>
      </c>
      <c r="AD142" s="4">
        <f t="shared" si="57"/>
        <v>-1315880</v>
      </c>
      <c r="AE142" s="5">
        <f t="shared" si="58"/>
        <v>0</v>
      </c>
      <c r="AF142" s="3" t="str">
        <f t="shared" si="59"/>
        <v>N</v>
      </c>
      <c r="AH142" s="4">
        <f t="shared" si="60"/>
        <v>58199831.975931071</v>
      </c>
      <c r="AI142" s="4">
        <f t="shared" si="61"/>
        <v>41272000</v>
      </c>
    </row>
    <row r="143" spans="1:35">
      <c r="A143" s="3">
        <v>141</v>
      </c>
      <c r="B143" s="3" t="s">
        <v>808</v>
      </c>
      <c r="C143" s="3" t="s">
        <v>667</v>
      </c>
      <c r="D143" s="4">
        <v>1480</v>
      </c>
      <c r="E143" s="4">
        <v>17705521.896329358</v>
      </c>
      <c r="F143" s="4">
        <v>0</v>
      </c>
      <c r="G143" s="4">
        <v>0</v>
      </c>
      <c r="H143" s="4">
        <f t="shared" si="44"/>
        <v>17705521.896329358</v>
      </c>
      <c r="I143" s="4">
        <f t="shared" si="45"/>
        <v>11963.190470492809</v>
      </c>
      <c r="J143" s="4">
        <v>1639.1</v>
      </c>
      <c r="K143" s="5">
        <f t="shared" si="46"/>
        <v>1480</v>
      </c>
      <c r="L143" s="4">
        <v>10800</v>
      </c>
      <c r="M143" s="4">
        <f t="shared" si="42"/>
        <v>15984000</v>
      </c>
      <c r="N143" s="4">
        <f t="shared" si="47"/>
        <v>-1721521.8963293578</v>
      </c>
      <c r="O143" s="4">
        <f t="shared" si="48"/>
        <v>0</v>
      </c>
      <c r="P143" s="4">
        <f t="shared" si="49"/>
        <v>-1721521.8963293578</v>
      </c>
      <c r="T143" s="4">
        <f t="shared" si="50"/>
        <v>11963.190470492809</v>
      </c>
      <c r="U143" s="4">
        <f t="shared" si="51"/>
        <v>-1721521.8963293578</v>
      </c>
      <c r="V143" s="4">
        <f t="shared" si="52"/>
        <v>0</v>
      </c>
      <c r="W143" s="4">
        <f t="shared" si="53"/>
        <v>-1721521.8963293578</v>
      </c>
      <c r="X143" s="5">
        <f t="shared" si="54"/>
        <v>15984000</v>
      </c>
      <c r="Y143" s="5">
        <f t="shared" si="55"/>
        <v>0</v>
      </c>
      <c r="Z143" s="5">
        <f t="shared" si="55"/>
        <v>0</v>
      </c>
      <c r="AB143" s="5">
        <f t="shared" si="43"/>
        <v>-159.09999999999991</v>
      </c>
      <c r="AC143" s="4">
        <f t="shared" si="56"/>
        <v>-1903343.6038554048</v>
      </c>
      <c r="AD143" s="4">
        <f t="shared" si="57"/>
        <v>-1718279.9999999991</v>
      </c>
      <c r="AE143" s="5">
        <f t="shared" si="58"/>
        <v>0</v>
      </c>
      <c r="AF143" s="3" t="str">
        <f t="shared" si="59"/>
        <v>N</v>
      </c>
      <c r="AH143" s="4">
        <f t="shared" si="60"/>
        <v>17705521.896329358</v>
      </c>
      <c r="AI143" s="4">
        <f t="shared" si="61"/>
        <v>15984000</v>
      </c>
    </row>
    <row r="144" spans="1:35">
      <c r="A144" s="3">
        <v>142</v>
      </c>
      <c r="B144" s="3" t="s">
        <v>809</v>
      </c>
      <c r="C144" s="3" t="s">
        <v>667</v>
      </c>
      <c r="D144" s="4">
        <v>102900</v>
      </c>
      <c r="E144" s="4">
        <v>509860080.78949106</v>
      </c>
      <c r="F144" s="4">
        <v>0</v>
      </c>
      <c r="G144" s="4">
        <v>0</v>
      </c>
      <c r="H144" s="4">
        <f t="shared" si="44"/>
        <v>509860080.78949106</v>
      </c>
      <c r="I144" s="4">
        <f t="shared" si="45"/>
        <v>4954.9084624829065</v>
      </c>
      <c r="J144" s="4">
        <v>103044.1</v>
      </c>
      <c r="K144" s="5">
        <f t="shared" si="46"/>
        <v>102900</v>
      </c>
      <c r="L144" s="4">
        <v>4700</v>
      </c>
      <c r="M144" s="4">
        <f t="shared" si="42"/>
        <v>483630000</v>
      </c>
      <c r="N144" s="4">
        <f t="shared" si="47"/>
        <v>-26230080.789491083</v>
      </c>
      <c r="O144" s="4">
        <f t="shared" si="48"/>
        <v>0</v>
      </c>
      <c r="P144" s="4">
        <f t="shared" si="49"/>
        <v>-26230080.789491083</v>
      </c>
      <c r="T144" s="4">
        <f t="shared" si="50"/>
        <v>4954.9084624829065</v>
      </c>
      <c r="U144" s="4">
        <f t="shared" si="51"/>
        <v>-26230080.789491083</v>
      </c>
      <c r="V144" s="4">
        <f t="shared" si="52"/>
        <v>0</v>
      </c>
      <c r="W144" s="4">
        <f t="shared" si="53"/>
        <v>-26230080.789491083</v>
      </c>
      <c r="X144" s="5">
        <f t="shared" si="54"/>
        <v>483630000</v>
      </c>
      <c r="Y144" s="5">
        <f t="shared" si="55"/>
        <v>0</v>
      </c>
      <c r="Z144" s="5">
        <f t="shared" si="55"/>
        <v>0</v>
      </c>
      <c r="AB144" s="5">
        <f t="shared" si="43"/>
        <v>-144.10000000000582</v>
      </c>
      <c r="AC144" s="4">
        <f t="shared" si="56"/>
        <v>-714002.30944381573</v>
      </c>
      <c r="AD144" s="4">
        <f t="shared" si="57"/>
        <v>-677270.00000002736</v>
      </c>
      <c r="AE144" s="5">
        <f t="shared" si="58"/>
        <v>0</v>
      </c>
      <c r="AF144" s="3" t="str">
        <f t="shared" si="59"/>
        <v>N</v>
      </c>
      <c r="AH144" s="4">
        <f t="shared" si="60"/>
        <v>509860080.78949106</v>
      </c>
      <c r="AI144" s="4">
        <f t="shared" si="61"/>
        <v>483630000</v>
      </c>
    </row>
    <row r="145" spans="1:35">
      <c r="A145" s="3">
        <v>143</v>
      </c>
      <c r="B145" s="3" t="s">
        <v>810</v>
      </c>
      <c r="C145" s="3" t="s">
        <v>667</v>
      </c>
      <c r="D145" s="4">
        <v>172400</v>
      </c>
      <c r="E145" s="4">
        <v>3551539798.3331409</v>
      </c>
      <c r="F145" s="4">
        <v>0</v>
      </c>
      <c r="G145" s="4">
        <v>0</v>
      </c>
      <c r="H145" s="4">
        <f t="shared" si="44"/>
        <v>3551539798.3331409</v>
      </c>
      <c r="I145" s="4">
        <f t="shared" si="45"/>
        <v>20600.578876642347</v>
      </c>
      <c r="J145" s="4">
        <v>175763.4</v>
      </c>
      <c r="K145" s="5">
        <f t="shared" si="46"/>
        <v>172400</v>
      </c>
      <c r="L145" s="4">
        <v>27950</v>
      </c>
      <c r="M145" s="4">
        <f t="shared" si="42"/>
        <v>4818580000</v>
      </c>
      <c r="N145" s="4">
        <f t="shared" si="47"/>
        <v>1267040201.6668594</v>
      </c>
      <c r="O145" s="4">
        <f t="shared" si="48"/>
        <v>1267040201.6668594</v>
      </c>
      <c r="P145" s="4">
        <f t="shared" si="49"/>
        <v>0</v>
      </c>
      <c r="T145" s="4">
        <f t="shared" si="50"/>
        <v>20600.578876642347</v>
      </c>
      <c r="U145" s="4">
        <f t="shared" si="51"/>
        <v>1267040201.6668594</v>
      </c>
      <c r="V145" s="4">
        <f t="shared" si="52"/>
        <v>1267040201.6668594</v>
      </c>
      <c r="W145" s="4">
        <f t="shared" si="53"/>
        <v>0</v>
      </c>
      <c r="X145" s="5">
        <f t="shared" si="54"/>
        <v>4818580000</v>
      </c>
      <c r="Y145" s="5">
        <f t="shared" si="55"/>
        <v>0</v>
      </c>
      <c r="Z145" s="5">
        <f t="shared" si="55"/>
        <v>0</v>
      </c>
      <c r="AB145" s="5">
        <f t="shared" si="43"/>
        <v>-3363.3999999999942</v>
      </c>
      <c r="AC145" s="4">
        <f t="shared" si="56"/>
        <v>-69287986.993698746</v>
      </c>
      <c r="AD145" s="4">
        <f t="shared" si="57"/>
        <v>-94007029.999999836</v>
      </c>
      <c r="AE145" s="5">
        <f t="shared" si="58"/>
        <v>0</v>
      </c>
      <c r="AF145" s="3" t="str">
        <f t="shared" si="59"/>
        <v>N</v>
      </c>
      <c r="AH145" s="4">
        <f t="shared" si="60"/>
        <v>3551539798.3331404</v>
      </c>
      <c r="AI145" s="4">
        <f t="shared" si="61"/>
        <v>4818580000</v>
      </c>
    </row>
    <row r="146" spans="1:35">
      <c r="A146" s="3">
        <v>144</v>
      </c>
      <c r="B146" s="3" t="s">
        <v>811</v>
      </c>
      <c r="C146" s="3" t="s">
        <v>667</v>
      </c>
      <c r="D146" s="4">
        <v>43100</v>
      </c>
      <c r="E146" s="4">
        <v>211127045.21643224</v>
      </c>
      <c r="F146" s="4">
        <v>0</v>
      </c>
      <c r="G146" s="4">
        <v>0</v>
      </c>
      <c r="H146" s="4">
        <f t="shared" si="44"/>
        <v>211127045.21643224</v>
      </c>
      <c r="I146" s="4">
        <f t="shared" si="45"/>
        <v>4898.5393321678011</v>
      </c>
      <c r="J146" s="4">
        <v>45768.9</v>
      </c>
      <c r="K146" s="5">
        <f t="shared" si="46"/>
        <v>43100</v>
      </c>
      <c r="L146" s="4">
        <v>5460</v>
      </c>
      <c r="M146" s="4">
        <f t="shared" si="42"/>
        <v>235326000</v>
      </c>
      <c r="N146" s="4">
        <f t="shared" si="47"/>
        <v>24198954.783567771</v>
      </c>
      <c r="O146" s="4">
        <f t="shared" si="48"/>
        <v>24198954.783567771</v>
      </c>
      <c r="P146" s="4">
        <f t="shared" si="49"/>
        <v>0</v>
      </c>
      <c r="T146" s="4">
        <f t="shared" si="50"/>
        <v>4898.5393321678011</v>
      </c>
      <c r="U146" s="4">
        <f t="shared" si="51"/>
        <v>24198954.783567771</v>
      </c>
      <c r="V146" s="4">
        <f t="shared" si="52"/>
        <v>24198954.783567771</v>
      </c>
      <c r="W146" s="4">
        <f t="shared" si="53"/>
        <v>0</v>
      </c>
      <c r="X146" s="5">
        <f t="shared" si="54"/>
        <v>235326000</v>
      </c>
      <c r="Y146" s="5">
        <f t="shared" si="55"/>
        <v>0</v>
      </c>
      <c r="Z146" s="5">
        <f t="shared" si="55"/>
        <v>0</v>
      </c>
      <c r="AB146" s="5">
        <f t="shared" si="43"/>
        <v>-2668.9000000000015</v>
      </c>
      <c r="AC146" s="4">
        <f t="shared" si="56"/>
        <v>-13073711.623622652</v>
      </c>
      <c r="AD146" s="4">
        <f t="shared" si="57"/>
        <v>-14572194.000000007</v>
      </c>
      <c r="AE146" s="5">
        <f t="shared" si="58"/>
        <v>0</v>
      </c>
      <c r="AF146" s="3" t="str">
        <f t="shared" si="59"/>
        <v>N</v>
      </c>
      <c r="AH146" s="4">
        <f t="shared" si="60"/>
        <v>211127045.21643224</v>
      </c>
      <c r="AI146" s="4">
        <f t="shared" si="61"/>
        <v>235326000</v>
      </c>
    </row>
    <row r="147" spans="1:35">
      <c r="A147" s="3">
        <v>145</v>
      </c>
      <c r="B147" s="3" t="s">
        <v>812</v>
      </c>
      <c r="C147" s="3" t="s">
        <v>667</v>
      </c>
      <c r="D147" s="4">
        <v>64200</v>
      </c>
      <c r="E147" s="4">
        <v>257971300.99177614</v>
      </c>
      <c r="F147" s="4">
        <v>0</v>
      </c>
      <c r="G147" s="4">
        <v>0</v>
      </c>
      <c r="H147" s="4">
        <f t="shared" si="44"/>
        <v>257971300.99177614</v>
      </c>
      <c r="I147" s="4">
        <f t="shared" si="45"/>
        <v>4018.244563734831</v>
      </c>
      <c r="J147" s="4">
        <v>64148.9</v>
      </c>
      <c r="K147" s="5">
        <f t="shared" si="46"/>
        <v>64148.9</v>
      </c>
      <c r="L147" s="4">
        <v>4140</v>
      </c>
      <c r="M147" s="4">
        <f t="shared" si="42"/>
        <v>265781778.29720685</v>
      </c>
      <c r="N147" s="4">
        <f t="shared" si="47"/>
        <v>7810477.3054307001</v>
      </c>
      <c r="O147" s="4">
        <f t="shared" si="48"/>
        <v>7810477.3054307001</v>
      </c>
      <c r="P147" s="4">
        <f t="shared" si="49"/>
        <v>0</v>
      </c>
      <c r="T147" s="4">
        <f t="shared" si="50"/>
        <v>4018.244563734831</v>
      </c>
      <c r="U147" s="4">
        <f t="shared" si="51"/>
        <v>7810477.3054307001</v>
      </c>
      <c r="V147" s="4">
        <f t="shared" si="52"/>
        <v>7810477.3054307001</v>
      </c>
      <c r="W147" s="4">
        <f t="shared" si="53"/>
        <v>0</v>
      </c>
      <c r="X147" s="5">
        <f t="shared" si="54"/>
        <v>265781778.29720685</v>
      </c>
      <c r="Y147" s="5">
        <f t="shared" si="55"/>
        <v>0</v>
      </c>
      <c r="Z147" s="5">
        <f t="shared" si="55"/>
        <v>0</v>
      </c>
      <c r="AB147" s="5">
        <f t="shared" si="43"/>
        <v>51.099999999998545</v>
      </c>
      <c r="AC147" s="4">
        <f t="shared" si="56"/>
        <v>205332.29720684403</v>
      </c>
      <c r="AD147" s="4">
        <f t="shared" si="57"/>
        <v>211553.99999999398</v>
      </c>
      <c r="AE147" s="5">
        <f t="shared" si="58"/>
        <v>-6221.702793149947</v>
      </c>
      <c r="AF147" s="3" t="str">
        <f t="shared" si="59"/>
        <v>N</v>
      </c>
      <c r="AH147" s="4">
        <f t="shared" si="60"/>
        <v>257765968.69456932</v>
      </c>
      <c r="AI147" s="4">
        <f t="shared" si="61"/>
        <v>265576446</v>
      </c>
    </row>
    <row r="148" spans="1:35">
      <c r="A148" s="3">
        <v>146</v>
      </c>
      <c r="B148" s="3" t="s">
        <v>813</v>
      </c>
      <c r="C148" s="3" t="s">
        <v>667</v>
      </c>
      <c r="D148" s="4">
        <v>51297</v>
      </c>
      <c r="E148" s="4">
        <v>742680524.59507847</v>
      </c>
      <c r="F148" s="4">
        <v>0</v>
      </c>
      <c r="G148" s="4">
        <v>0</v>
      </c>
      <c r="H148" s="4">
        <f t="shared" si="44"/>
        <v>742680524.59507847</v>
      </c>
      <c r="I148" s="4">
        <f t="shared" si="45"/>
        <v>14478.049878064574</v>
      </c>
      <c r="J148" s="4">
        <v>53039.8</v>
      </c>
      <c r="K148" s="5">
        <f t="shared" si="46"/>
        <v>51297</v>
      </c>
      <c r="L148" s="4">
        <v>22800</v>
      </c>
      <c r="M148" s="4">
        <f t="shared" si="42"/>
        <v>1169571600</v>
      </c>
      <c r="N148" s="4">
        <f t="shared" si="47"/>
        <v>426891075.40492153</v>
      </c>
      <c r="O148" s="4">
        <f t="shared" si="48"/>
        <v>426891075.40492153</v>
      </c>
      <c r="P148" s="4">
        <f t="shared" si="49"/>
        <v>0</v>
      </c>
      <c r="T148" s="4">
        <f t="shared" si="50"/>
        <v>14478.049878064574</v>
      </c>
      <c r="U148" s="4">
        <f t="shared" si="51"/>
        <v>426891075.40492153</v>
      </c>
      <c r="V148" s="4">
        <f t="shared" si="52"/>
        <v>426891075.40492153</v>
      </c>
      <c r="W148" s="4">
        <f t="shared" si="53"/>
        <v>0</v>
      </c>
      <c r="X148" s="5">
        <f t="shared" si="54"/>
        <v>1169571600</v>
      </c>
      <c r="Y148" s="5">
        <f t="shared" si="55"/>
        <v>0</v>
      </c>
      <c r="Z148" s="5">
        <f t="shared" si="55"/>
        <v>0</v>
      </c>
      <c r="AB148" s="5">
        <f t="shared" si="43"/>
        <v>-1742.8000000000029</v>
      </c>
      <c r="AC148" s="4">
        <f t="shared" si="56"/>
        <v>-25232345.327490982</v>
      </c>
      <c r="AD148" s="4">
        <f t="shared" si="57"/>
        <v>-39735840.000000067</v>
      </c>
      <c r="AE148" s="5">
        <f t="shared" si="58"/>
        <v>0</v>
      </c>
      <c r="AF148" s="3" t="str">
        <f t="shared" si="59"/>
        <v>N</v>
      </c>
      <c r="AH148" s="4">
        <f t="shared" si="60"/>
        <v>742680524.59507847</v>
      </c>
      <c r="AI148" s="4">
        <f t="shared" si="61"/>
        <v>1169571600</v>
      </c>
    </row>
    <row r="149" spans="1:35">
      <c r="A149" s="3">
        <v>147</v>
      </c>
      <c r="B149" s="3" t="s">
        <v>814</v>
      </c>
      <c r="C149" s="3" t="s">
        <v>667</v>
      </c>
      <c r="D149" s="4">
        <v>4230</v>
      </c>
      <c r="E149" s="4">
        <v>25189441.058408298</v>
      </c>
      <c r="F149" s="4">
        <v>0</v>
      </c>
      <c r="G149" s="4">
        <v>0</v>
      </c>
      <c r="H149" s="4">
        <f t="shared" si="44"/>
        <v>25189441.058408298</v>
      </c>
      <c r="I149" s="4">
        <f t="shared" si="45"/>
        <v>5954.9506048246567</v>
      </c>
      <c r="J149" s="4">
        <v>3146.5</v>
      </c>
      <c r="K149" s="5">
        <f t="shared" si="46"/>
        <v>3146.5</v>
      </c>
      <c r="L149" s="4">
        <v>10100</v>
      </c>
      <c r="M149" s="4">
        <f t="shared" si="42"/>
        <v>38231838.980327517</v>
      </c>
      <c r="N149" s="4">
        <f t="shared" si="47"/>
        <v>13042397.921919217</v>
      </c>
      <c r="O149" s="4">
        <f t="shared" si="48"/>
        <v>13042397.921919217</v>
      </c>
      <c r="P149" s="4">
        <f t="shared" si="49"/>
        <v>0</v>
      </c>
      <c r="T149" s="4">
        <f t="shared" si="50"/>
        <v>5954.9506048246567</v>
      </c>
      <c r="U149" s="4">
        <f t="shared" si="51"/>
        <v>13042397.921919217</v>
      </c>
      <c r="V149" s="4">
        <f t="shared" si="52"/>
        <v>13042397.921919217</v>
      </c>
      <c r="W149" s="4">
        <f t="shared" si="53"/>
        <v>0</v>
      </c>
      <c r="X149" s="5">
        <f t="shared" si="54"/>
        <v>38231838.980327517</v>
      </c>
      <c r="Y149" s="5">
        <f t="shared" si="55"/>
        <v>0</v>
      </c>
      <c r="Z149" s="5">
        <f t="shared" si="55"/>
        <v>0</v>
      </c>
      <c r="AB149" s="5">
        <f t="shared" si="43"/>
        <v>1083.5</v>
      </c>
      <c r="AC149" s="4">
        <f t="shared" si="56"/>
        <v>6452188.9803275159</v>
      </c>
      <c r="AD149" s="4">
        <f t="shared" si="57"/>
        <v>10943350</v>
      </c>
      <c r="AE149" s="5">
        <f t="shared" si="58"/>
        <v>-4491161.0196724841</v>
      </c>
      <c r="AF149" s="3" t="str">
        <f t="shared" si="59"/>
        <v>N</v>
      </c>
      <c r="AH149" s="4">
        <f t="shared" si="60"/>
        <v>18737252.078080781</v>
      </c>
      <c r="AI149" s="4">
        <f t="shared" si="61"/>
        <v>31779650</v>
      </c>
    </row>
    <row r="150" spans="1:35">
      <c r="A150" s="3">
        <v>148</v>
      </c>
      <c r="B150" s="3" t="s">
        <v>815</v>
      </c>
      <c r="C150" s="3" t="s">
        <v>667</v>
      </c>
      <c r="D150" s="4">
        <v>6400</v>
      </c>
      <c r="E150" s="4">
        <v>93479450.95964177</v>
      </c>
      <c r="F150" s="4">
        <v>0</v>
      </c>
      <c r="G150" s="4">
        <v>0</v>
      </c>
      <c r="H150" s="4">
        <f t="shared" si="44"/>
        <v>93479450.95964177</v>
      </c>
      <c r="I150" s="4">
        <f t="shared" si="45"/>
        <v>14606.164212444026</v>
      </c>
      <c r="J150" s="4">
        <v>6274.8</v>
      </c>
      <c r="K150" s="5">
        <f t="shared" si="46"/>
        <v>6274.8</v>
      </c>
      <c r="L150" s="4">
        <v>12000</v>
      </c>
      <c r="M150" s="4">
        <f t="shared" si="42"/>
        <v>77126291.759397998</v>
      </c>
      <c r="N150" s="4">
        <f t="shared" si="47"/>
        <v>-16353159.200243775</v>
      </c>
      <c r="O150" s="4">
        <f t="shared" si="48"/>
        <v>0</v>
      </c>
      <c r="P150" s="4">
        <f t="shared" si="49"/>
        <v>-16353159.200243775</v>
      </c>
      <c r="T150" s="4">
        <f t="shared" si="50"/>
        <v>14606.164212444026</v>
      </c>
      <c r="U150" s="4">
        <f t="shared" si="51"/>
        <v>-16353159.200243775</v>
      </c>
      <c r="V150" s="4">
        <f t="shared" si="52"/>
        <v>0</v>
      </c>
      <c r="W150" s="4">
        <f t="shared" si="53"/>
        <v>-16353159.200243775</v>
      </c>
      <c r="X150" s="5">
        <f t="shared" si="54"/>
        <v>77126291.759397998</v>
      </c>
      <c r="Y150" s="5">
        <f t="shared" si="55"/>
        <v>0</v>
      </c>
      <c r="Z150" s="5">
        <f t="shared" si="55"/>
        <v>0</v>
      </c>
      <c r="AB150" s="5">
        <f t="shared" si="43"/>
        <v>125.19999999999982</v>
      </c>
      <c r="AC150" s="4">
        <f t="shared" si="56"/>
        <v>1828691.7593979894</v>
      </c>
      <c r="AD150" s="4">
        <f t="shared" si="57"/>
        <v>1502399.9999999979</v>
      </c>
      <c r="AE150" s="5">
        <f t="shared" si="58"/>
        <v>326291.75939799147</v>
      </c>
      <c r="AF150" s="3" t="str">
        <f t="shared" si="59"/>
        <v>Y</v>
      </c>
      <c r="AH150" s="4">
        <f t="shared" si="60"/>
        <v>91650759.200243771</v>
      </c>
      <c r="AI150" s="4">
        <f t="shared" si="61"/>
        <v>75297600</v>
      </c>
    </row>
    <row r="151" spans="1:35">
      <c r="A151" s="3">
        <v>149</v>
      </c>
      <c r="B151" s="3" t="s">
        <v>816</v>
      </c>
      <c r="C151" s="3" t="s">
        <v>667</v>
      </c>
      <c r="D151" s="4">
        <v>400</v>
      </c>
      <c r="E151" s="4">
        <v>7314687.6223641932</v>
      </c>
      <c r="F151" s="4">
        <v>0</v>
      </c>
      <c r="G151" s="4">
        <v>0</v>
      </c>
      <c r="H151" s="4">
        <f t="shared" si="44"/>
        <v>7314687.6223641932</v>
      </c>
      <c r="I151" s="4">
        <f t="shared" si="45"/>
        <v>18286.719055910482</v>
      </c>
      <c r="J151" s="4">
        <v>312</v>
      </c>
      <c r="K151" s="5">
        <f t="shared" si="46"/>
        <v>312</v>
      </c>
      <c r="L151" s="4">
        <v>16450</v>
      </c>
      <c r="M151" s="4">
        <f t="shared" si="42"/>
        <v>6741631.276920123</v>
      </c>
      <c r="N151" s="4">
        <f t="shared" si="47"/>
        <v>-573056.34544407041</v>
      </c>
      <c r="O151" s="4">
        <f t="shared" si="48"/>
        <v>0</v>
      </c>
      <c r="P151" s="4">
        <f t="shared" si="49"/>
        <v>-573056.34544407041</v>
      </c>
      <c r="T151" s="4">
        <f t="shared" si="50"/>
        <v>18286.719055910482</v>
      </c>
      <c r="U151" s="4">
        <f t="shared" si="51"/>
        <v>-573056.34544407041</v>
      </c>
      <c r="V151" s="4">
        <f t="shared" si="52"/>
        <v>0</v>
      </c>
      <c r="W151" s="4">
        <f t="shared" si="53"/>
        <v>-573056.34544407041</v>
      </c>
      <c r="X151" s="5">
        <f t="shared" si="54"/>
        <v>6741631.276920123</v>
      </c>
      <c r="Y151" s="5">
        <f t="shared" si="55"/>
        <v>0</v>
      </c>
      <c r="Z151" s="5">
        <f t="shared" si="55"/>
        <v>0</v>
      </c>
      <c r="AB151" s="5">
        <f t="shared" si="43"/>
        <v>88</v>
      </c>
      <c r="AC151" s="4">
        <f t="shared" si="56"/>
        <v>1609231.2769201223</v>
      </c>
      <c r="AD151" s="4">
        <f t="shared" si="57"/>
        <v>1447600</v>
      </c>
      <c r="AE151" s="5">
        <f t="shared" si="58"/>
        <v>161631.27692012233</v>
      </c>
      <c r="AF151" s="3" t="str">
        <f t="shared" si="59"/>
        <v>Y</v>
      </c>
      <c r="AH151" s="4">
        <f t="shared" si="60"/>
        <v>5705456.3454440702</v>
      </c>
      <c r="AI151" s="4">
        <f t="shared" si="61"/>
        <v>5132400</v>
      </c>
    </row>
    <row r="152" spans="1:35">
      <c r="A152" s="3">
        <v>150</v>
      </c>
      <c r="B152" s="3" t="s">
        <v>817</v>
      </c>
      <c r="C152" s="3" t="s">
        <v>667</v>
      </c>
      <c r="D152" s="4">
        <v>500</v>
      </c>
      <c r="E152" s="4">
        <v>9338715.0032638535</v>
      </c>
      <c r="F152" s="4">
        <v>0</v>
      </c>
      <c r="G152" s="4">
        <v>0</v>
      </c>
      <c r="H152" s="4">
        <f t="shared" si="44"/>
        <v>9338715.0032638535</v>
      </c>
      <c r="I152" s="4">
        <f t="shared" si="45"/>
        <v>18677.430006527706</v>
      </c>
      <c r="J152" s="4">
        <v>416.5</v>
      </c>
      <c r="K152" s="5">
        <f t="shared" si="46"/>
        <v>416.5</v>
      </c>
      <c r="L152" s="4">
        <v>12550</v>
      </c>
      <c r="M152" s="4">
        <f t="shared" si="42"/>
        <v>6786640.4055450642</v>
      </c>
      <c r="N152" s="4">
        <f t="shared" si="47"/>
        <v>-2552074.5977187892</v>
      </c>
      <c r="O152" s="4">
        <f t="shared" si="48"/>
        <v>0</v>
      </c>
      <c r="P152" s="4">
        <f t="shared" si="49"/>
        <v>-2552074.5977187892</v>
      </c>
      <c r="T152" s="4">
        <f t="shared" si="50"/>
        <v>18677.430006527706</v>
      </c>
      <c r="U152" s="4">
        <f t="shared" si="51"/>
        <v>-2552074.5977187892</v>
      </c>
      <c r="V152" s="4">
        <f t="shared" si="52"/>
        <v>0</v>
      </c>
      <c r="W152" s="4">
        <f t="shared" si="53"/>
        <v>-2552074.5977187892</v>
      </c>
      <c r="X152" s="5">
        <f t="shared" si="54"/>
        <v>6786640.4055450642</v>
      </c>
      <c r="Y152" s="5">
        <f t="shared" si="55"/>
        <v>0</v>
      </c>
      <c r="Z152" s="5">
        <f t="shared" si="55"/>
        <v>0</v>
      </c>
      <c r="AB152" s="5">
        <f t="shared" si="43"/>
        <v>83.5</v>
      </c>
      <c r="AC152" s="4">
        <f t="shared" si="56"/>
        <v>1559565.4055450633</v>
      </c>
      <c r="AD152" s="4">
        <f t="shared" si="57"/>
        <v>1047925</v>
      </c>
      <c r="AE152" s="5">
        <f t="shared" si="58"/>
        <v>511640.40554506332</v>
      </c>
      <c r="AF152" s="3" t="str">
        <f t="shared" si="59"/>
        <v>Y</v>
      </c>
      <c r="AH152" s="4">
        <f t="shared" si="60"/>
        <v>7779149.5977187892</v>
      </c>
      <c r="AI152" s="4">
        <f t="shared" si="61"/>
        <v>5227075</v>
      </c>
    </row>
    <row r="153" spans="1:35">
      <c r="A153" s="3">
        <v>151</v>
      </c>
      <c r="B153" s="3" t="s">
        <v>818</v>
      </c>
      <c r="C153" s="3" t="s">
        <v>667</v>
      </c>
      <c r="D153" s="4">
        <v>4200</v>
      </c>
      <c r="E153" s="4">
        <v>56676189.58108332</v>
      </c>
      <c r="F153" s="4">
        <v>0</v>
      </c>
      <c r="G153" s="4">
        <v>0</v>
      </c>
      <c r="H153" s="4">
        <f t="shared" si="44"/>
        <v>56676189.58108332</v>
      </c>
      <c r="I153" s="4">
        <f t="shared" si="45"/>
        <v>13494.330852638886</v>
      </c>
      <c r="J153" s="4">
        <v>4154.1000000000004</v>
      </c>
      <c r="K153" s="5">
        <f t="shared" si="46"/>
        <v>4154.1000000000004</v>
      </c>
      <c r="L153" s="4">
        <v>16000</v>
      </c>
      <c r="M153" s="4">
        <f t="shared" si="42"/>
        <v>67084989.786136121</v>
      </c>
      <c r="N153" s="4">
        <f t="shared" si="47"/>
        <v>10408800.205052802</v>
      </c>
      <c r="O153" s="4">
        <f t="shared" si="48"/>
        <v>10408800.205052802</v>
      </c>
      <c r="P153" s="4">
        <f t="shared" si="49"/>
        <v>0</v>
      </c>
      <c r="T153" s="4">
        <f t="shared" si="50"/>
        <v>13494.330852638886</v>
      </c>
      <c r="U153" s="4">
        <f t="shared" si="51"/>
        <v>10408800.205052802</v>
      </c>
      <c r="V153" s="4">
        <f t="shared" si="52"/>
        <v>10408800.205052802</v>
      </c>
      <c r="W153" s="4">
        <f t="shared" si="53"/>
        <v>0</v>
      </c>
      <c r="X153" s="5">
        <f t="shared" si="54"/>
        <v>67084989.786136121</v>
      </c>
      <c r="Y153" s="5">
        <f t="shared" si="55"/>
        <v>0</v>
      </c>
      <c r="Z153" s="5">
        <f t="shared" si="55"/>
        <v>0</v>
      </c>
      <c r="AB153" s="5">
        <f t="shared" si="43"/>
        <v>45.899999999999636</v>
      </c>
      <c r="AC153" s="4">
        <f t="shared" si="56"/>
        <v>619389.78613611998</v>
      </c>
      <c r="AD153" s="4">
        <f t="shared" si="57"/>
        <v>734399.99999999418</v>
      </c>
      <c r="AE153" s="5">
        <f t="shared" si="58"/>
        <v>-115010.2138638742</v>
      </c>
      <c r="AF153" s="3" t="str">
        <f t="shared" si="59"/>
        <v>N</v>
      </c>
      <c r="AH153" s="4">
        <f t="shared" si="60"/>
        <v>56056799.7949472</v>
      </c>
      <c r="AI153" s="4">
        <f t="shared" si="61"/>
        <v>66465600.000000007</v>
      </c>
    </row>
    <row r="154" spans="1:35">
      <c r="A154" s="3">
        <v>152</v>
      </c>
      <c r="B154" s="3" t="s">
        <v>819</v>
      </c>
      <c r="C154" s="3" t="s">
        <v>667</v>
      </c>
      <c r="D154" s="4">
        <v>1900</v>
      </c>
      <c r="E154" s="4">
        <v>21538050.971803028</v>
      </c>
      <c r="F154" s="4">
        <v>0</v>
      </c>
      <c r="G154" s="4">
        <v>0</v>
      </c>
      <c r="H154" s="4">
        <f t="shared" si="44"/>
        <v>21538050.971803028</v>
      </c>
      <c r="I154" s="4">
        <f t="shared" si="45"/>
        <v>11335.816300948962</v>
      </c>
      <c r="J154" s="4">
        <v>1897</v>
      </c>
      <c r="K154" s="5">
        <f t="shared" si="46"/>
        <v>1897</v>
      </c>
      <c r="L154" s="4">
        <v>9790</v>
      </c>
      <c r="M154" s="4">
        <f t="shared" si="42"/>
        <v>18605637.448902849</v>
      </c>
      <c r="N154" s="4">
        <f t="shared" si="47"/>
        <v>-2932413.5229001804</v>
      </c>
      <c r="O154" s="4">
        <f t="shared" si="48"/>
        <v>0</v>
      </c>
      <c r="P154" s="4">
        <f t="shared" si="49"/>
        <v>-2932413.5229001804</v>
      </c>
      <c r="T154" s="4">
        <f t="shared" si="50"/>
        <v>11335.816300948962</v>
      </c>
      <c r="U154" s="4">
        <f t="shared" si="51"/>
        <v>-2932413.5229001804</v>
      </c>
      <c r="V154" s="4">
        <f t="shared" si="52"/>
        <v>0</v>
      </c>
      <c r="W154" s="4">
        <f t="shared" si="53"/>
        <v>-2932413.5229001804</v>
      </c>
      <c r="X154" s="5">
        <f t="shared" si="54"/>
        <v>18605637.448902849</v>
      </c>
      <c r="Y154" s="5">
        <f t="shared" si="55"/>
        <v>0</v>
      </c>
      <c r="Z154" s="5">
        <f t="shared" si="55"/>
        <v>0</v>
      </c>
      <c r="AB154" s="5">
        <f t="shared" si="43"/>
        <v>3</v>
      </c>
      <c r="AC154" s="4">
        <f t="shared" si="56"/>
        <v>34007.448902846882</v>
      </c>
      <c r="AD154" s="4">
        <f t="shared" si="57"/>
        <v>29370</v>
      </c>
      <c r="AE154" s="5">
        <f t="shared" si="58"/>
        <v>4637.4489028468815</v>
      </c>
      <c r="AF154" s="3" t="str">
        <f t="shared" si="59"/>
        <v>Y</v>
      </c>
      <c r="AH154" s="4">
        <f t="shared" si="60"/>
        <v>21504043.522900179</v>
      </c>
      <c r="AI154" s="4">
        <f t="shared" si="61"/>
        <v>18571630</v>
      </c>
    </row>
    <row r="155" spans="1:35">
      <c r="A155" s="3">
        <v>153</v>
      </c>
      <c r="B155" s="3" t="s">
        <v>820</v>
      </c>
      <c r="C155" s="3" t="s">
        <v>667</v>
      </c>
      <c r="D155" s="4">
        <v>3600</v>
      </c>
      <c r="E155" s="4">
        <v>30155434.645563435</v>
      </c>
      <c r="F155" s="4">
        <v>0</v>
      </c>
      <c r="G155" s="4">
        <v>0</v>
      </c>
      <c r="H155" s="4">
        <f t="shared" si="44"/>
        <v>30155434.645563435</v>
      </c>
      <c r="I155" s="4">
        <f t="shared" si="45"/>
        <v>8376.5096237676207</v>
      </c>
      <c r="J155" s="4">
        <v>3589.1</v>
      </c>
      <c r="K155" s="5">
        <f t="shared" si="46"/>
        <v>3589.1</v>
      </c>
      <c r="L155" s="4">
        <v>3600</v>
      </c>
      <c r="M155" s="4">
        <f t="shared" si="42"/>
        <v>13012063.954899069</v>
      </c>
      <c r="N155" s="4">
        <f t="shared" si="47"/>
        <v>-17143370.690664366</v>
      </c>
      <c r="O155" s="4">
        <f t="shared" si="48"/>
        <v>0</v>
      </c>
      <c r="P155" s="4">
        <f t="shared" si="49"/>
        <v>-17143370.690664366</v>
      </c>
      <c r="T155" s="4">
        <f t="shared" si="50"/>
        <v>8376.5096237676207</v>
      </c>
      <c r="U155" s="4">
        <f t="shared" si="51"/>
        <v>-17143370.690664366</v>
      </c>
      <c r="V155" s="4">
        <f t="shared" si="52"/>
        <v>0</v>
      </c>
      <c r="W155" s="4">
        <f t="shared" si="53"/>
        <v>-17143370.690664366</v>
      </c>
      <c r="X155" s="5">
        <f t="shared" si="54"/>
        <v>13012063.954899069</v>
      </c>
      <c r="Y155" s="5">
        <f t="shared" si="55"/>
        <v>0</v>
      </c>
      <c r="Z155" s="5">
        <f t="shared" si="55"/>
        <v>0</v>
      </c>
      <c r="AB155" s="5">
        <f t="shared" si="43"/>
        <v>10.900000000000091</v>
      </c>
      <c r="AC155" s="4">
        <f t="shared" si="56"/>
        <v>91303.95489906783</v>
      </c>
      <c r="AD155" s="4">
        <f t="shared" si="57"/>
        <v>39240.000000000327</v>
      </c>
      <c r="AE155" s="5">
        <f t="shared" si="58"/>
        <v>52063.954899067503</v>
      </c>
      <c r="AF155" s="3" t="str">
        <f t="shared" si="59"/>
        <v>Y</v>
      </c>
      <c r="AH155" s="4">
        <f t="shared" si="60"/>
        <v>30064130.690664366</v>
      </c>
      <c r="AI155" s="4">
        <f t="shared" si="61"/>
        <v>12920760</v>
      </c>
    </row>
    <row r="156" spans="1:35">
      <c r="A156" s="3">
        <v>154</v>
      </c>
      <c r="B156" s="3" t="s">
        <v>821</v>
      </c>
      <c r="C156" s="3" t="s">
        <v>667</v>
      </c>
      <c r="D156" s="4">
        <v>1499</v>
      </c>
      <c r="E156" s="4">
        <v>24835169.860511087</v>
      </c>
      <c r="F156" s="4">
        <v>0</v>
      </c>
      <c r="G156" s="4">
        <v>0</v>
      </c>
      <c r="H156" s="4">
        <f t="shared" si="44"/>
        <v>24835169.860511087</v>
      </c>
      <c r="I156" s="4">
        <f t="shared" si="45"/>
        <v>16567.825123756564</v>
      </c>
      <c r="J156" s="4">
        <v>1482.4</v>
      </c>
      <c r="K156" s="5">
        <f t="shared" si="46"/>
        <v>1482.4</v>
      </c>
      <c r="L156" s="4">
        <v>17000</v>
      </c>
      <c r="M156" s="4">
        <f t="shared" si="42"/>
        <v>25475825.897054356</v>
      </c>
      <c r="N156" s="4">
        <f t="shared" si="47"/>
        <v>640656.03654326999</v>
      </c>
      <c r="O156" s="4">
        <f t="shared" si="48"/>
        <v>640656.03654326999</v>
      </c>
      <c r="P156" s="4">
        <f t="shared" si="49"/>
        <v>0</v>
      </c>
      <c r="T156" s="4">
        <f t="shared" si="50"/>
        <v>16567.825123756564</v>
      </c>
      <c r="U156" s="4">
        <f t="shared" si="51"/>
        <v>640656.03654326999</v>
      </c>
      <c r="V156" s="4">
        <f t="shared" si="52"/>
        <v>640656.03654326999</v>
      </c>
      <c r="W156" s="4">
        <f t="shared" si="53"/>
        <v>0</v>
      </c>
      <c r="X156" s="5">
        <f t="shared" si="54"/>
        <v>25475825.897054356</v>
      </c>
      <c r="Y156" s="5">
        <f t="shared" si="55"/>
        <v>0</v>
      </c>
      <c r="Z156" s="5">
        <f t="shared" si="55"/>
        <v>0</v>
      </c>
      <c r="AB156" s="5">
        <f t="shared" si="43"/>
        <v>16.599999999999909</v>
      </c>
      <c r="AC156" s="4">
        <f t="shared" si="56"/>
        <v>275025.89705435745</v>
      </c>
      <c r="AD156" s="4">
        <f t="shared" si="57"/>
        <v>282199.99999999843</v>
      </c>
      <c r="AE156" s="5">
        <f t="shared" si="58"/>
        <v>-7174.1029456409742</v>
      </c>
      <c r="AF156" s="3" t="str">
        <f t="shared" si="59"/>
        <v>N</v>
      </c>
      <c r="AH156" s="4">
        <f t="shared" si="60"/>
        <v>24560143.963456731</v>
      </c>
      <c r="AI156" s="4">
        <f t="shared" si="61"/>
        <v>25200800</v>
      </c>
    </row>
    <row r="157" spans="1:35">
      <c r="A157" s="3">
        <v>155</v>
      </c>
      <c r="B157" s="3" t="s">
        <v>822</v>
      </c>
      <c r="C157" s="3" t="s">
        <v>667</v>
      </c>
      <c r="D157" s="4">
        <v>2520</v>
      </c>
      <c r="E157" s="4">
        <v>13145818.224631766</v>
      </c>
      <c r="F157" s="4">
        <v>0</v>
      </c>
      <c r="G157" s="4">
        <v>0</v>
      </c>
      <c r="H157" s="4">
        <f t="shared" si="44"/>
        <v>13145818.224631766</v>
      </c>
      <c r="I157" s="4">
        <f t="shared" si="45"/>
        <v>5216.5945335840343</v>
      </c>
      <c r="J157" s="4">
        <v>2423.6</v>
      </c>
      <c r="K157" s="5">
        <f t="shared" si="46"/>
        <v>2423.6</v>
      </c>
      <c r="L157" s="4">
        <v>5350</v>
      </c>
      <c r="M157" s="4">
        <f t="shared" si="42"/>
        <v>13469139.7130375</v>
      </c>
      <c r="N157" s="4">
        <f t="shared" si="47"/>
        <v>323321.48840573459</v>
      </c>
      <c r="O157" s="4">
        <f t="shared" si="48"/>
        <v>323321.48840573459</v>
      </c>
      <c r="P157" s="4">
        <f t="shared" si="49"/>
        <v>0</v>
      </c>
      <c r="T157" s="4">
        <f t="shared" si="50"/>
        <v>5216.5945335840343</v>
      </c>
      <c r="U157" s="4">
        <f t="shared" si="51"/>
        <v>323321.48840573459</v>
      </c>
      <c r="V157" s="4">
        <f t="shared" si="52"/>
        <v>323321.48840573459</v>
      </c>
      <c r="W157" s="4">
        <f t="shared" si="53"/>
        <v>0</v>
      </c>
      <c r="X157" s="5">
        <f t="shared" si="54"/>
        <v>13469139.7130375</v>
      </c>
      <c r="Y157" s="5">
        <f t="shared" si="55"/>
        <v>0</v>
      </c>
      <c r="Z157" s="5">
        <f t="shared" si="55"/>
        <v>0</v>
      </c>
      <c r="AB157" s="5">
        <f t="shared" si="43"/>
        <v>96.400000000000091</v>
      </c>
      <c r="AC157" s="4">
        <f t="shared" si="56"/>
        <v>502879.71303750138</v>
      </c>
      <c r="AD157" s="4">
        <f t="shared" si="57"/>
        <v>515740.00000000047</v>
      </c>
      <c r="AE157" s="5">
        <f t="shared" si="58"/>
        <v>-12860.286962499085</v>
      </c>
      <c r="AF157" s="3" t="str">
        <f t="shared" si="59"/>
        <v>N</v>
      </c>
      <c r="AH157" s="4">
        <f t="shared" si="60"/>
        <v>12642938.511594266</v>
      </c>
      <c r="AI157" s="4">
        <f t="shared" si="61"/>
        <v>12966260</v>
      </c>
    </row>
    <row r="158" spans="1:35">
      <c r="A158" s="3">
        <v>156</v>
      </c>
      <c r="B158" s="3" t="s">
        <v>823</v>
      </c>
      <c r="C158" s="3" t="s">
        <v>667</v>
      </c>
      <c r="D158" s="4">
        <v>72800</v>
      </c>
      <c r="E158" s="4">
        <v>1105214179.0620179</v>
      </c>
      <c r="F158" s="4">
        <v>0</v>
      </c>
      <c r="G158" s="4">
        <v>0</v>
      </c>
      <c r="H158" s="4">
        <f t="shared" si="44"/>
        <v>1105214179.0620179</v>
      </c>
      <c r="I158" s="4">
        <f t="shared" si="45"/>
        <v>15181.513448654092</v>
      </c>
      <c r="J158" s="4">
        <v>72747</v>
      </c>
      <c r="K158" s="5">
        <f t="shared" si="46"/>
        <v>72747</v>
      </c>
      <c r="L158" s="4">
        <v>12250</v>
      </c>
      <c r="M158" s="4">
        <f t="shared" si="42"/>
        <v>891955370.21277869</v>
      </c>
      <c r="N158" s="4">
        <f t="shared" si="47"/>
        <v>-213258808.84923923</v>
      </c>
      <c r="O158" s="4">
        <f t="shared" si="48"/>
        <v>0</v>
      </c>
      <c r="P158" s="4">
        <f t="shared" si="49"/>
        <v>-213258808.84923923</v>
      </c>
      <c r="T158" s="4">
        <f t="shared" si="50"/>
        <v>15181.513448654092</v>
      </c>
      <c r="U158" s="4">
        <f t="shared" si="51"/>
        <v>-213258808.84923923</v>
      </c>
      <c r="V158" s="4">
        <f t="shared" si="52"/>
        <v>0</v>
      </c>
      <c r="W158" s="4">
        <f t="shared" si="53"/>
        <v>-213258808.84923923</v>
      </c>
      <c r="X158" s="5">
        <f t="shared" si="54"/>
        <v>891955370.21277869</v>
      </c>
      <c r="Y158" s="5">
        <f t="shared" si="55"/>
        <v>0</v>
      </c>
      <c r="Z158" s="5">
        <f t="shared" si="55"/>
        <v>0</v>
      </c>
      <c r="AB158" s="5">
        <f t="shared" si="43"/>
        <v>53</v>
      </c>
      <c r="AC158" s="4">
        <f t="shared" si="56"/>
        <v>804620.21277866687</v>
      </c>
      <c r="AD158" s="4">
        <f t="shared" si="57"/>
        <v>649250</v>
      </c>
      <c r="AE158" s="5">
        <f t="shared" si="58"/>
        <v>155370.21277866687</v>
      </c>
      <c r="AF158" s="3" t="str">
        <f t="shared" si="59"/>
        <v>Y</v>
      </c>
      <c r="AH158" s="4">
        <f t="shared" si="60"/>
        <v>1104409558.8492391</v>
      </c>
      <c r="AI158" s="4">
        <f t="shared" si="61"/>
        <v>891150750</v>
      </c>
    </row>
    <row r="159" spans="1:35">
      <c r="A159" s="3">
        <v>157</v>
      </c>
      <c r="B159" s="3" t="s">
        <v>824</v>
      </c>
      <c r="C159" s="3" t="s">
        <v>667</v>
      </c>
      <c r="D159" s="4">
        <v>23100</v>
      </c>
      <c r="E159" s="4">
        <v>85742155.421871305</v>
      </c>
      <c r="F159" s="4">
        <v>0</v>
      </c>
      <c r="G159" s="4">
        <v>0</v>
      </c>
      <c r="H159" s="4">
        <f t="shared" si="44"/>
        <v>85742155.421871305</v>
      </c>
      <c r="I159" s="4">
        <f t="shared" si="45"/>
        <v>3711.7816199944286</v>
      </c>
      <c r="J159" s="4">
        <v>23027</v>
      </c>
      <c r="K159" s="5">
        <f t="shared" si="46"/>
        <v>23027</v>
      </c>
      <c r="L159" s="4">
        <v>3020</v>
      </c>
      <c r="M159" s="4">
        <f t="shared" si="42"/>
        <v>69812500.058259591</v>
      </c>
      <c r="N159" s="4">
        <f t="shared" si="47"/>
        <v>-15929655.363611707</v>
      </c>
      <c r="O159" s="4">
        <f t="shared" si="48"/>
        <v>0</v>
      </c>
      <c r="P159" s="4">
        <f t="shared" si="49"/>
        <v>-15929655.363611707</v>
      </c>
      <c r="T159" s="4">
        <f t="shared" si="50"/>
        <v>3711.7816199944286</v>
      </c>
      <c r="U159" s="4">
        <f t="shared" si="51"/>
        <v>-15929655.363611707</v>
      </c>
      <c r="V159" s="4">
        <f t="shared" si="52"/>
        <v>0</v>
      </c>
      <c r="W159" s="4">
        <f t="shared" si="53"/>
        <v>-15929655.363611707</v>
      </c>
      <c r="X159" s="5">
        <f t="shared" si="54"/>
        <v>69812500.058259591</v>
      </c>
      <c r="Y159" s="5">
        <f t="shared" si="55"/>
        <v>0</v>
      </c>
      <c r="Z159" s="5">
        <f t="shared" si="55"/>
        <v>0</v>
      </c>
      <c r="AB159" s="5">
        <f t="shared" si="43"/>
        <v>73</v>
      </c>
      <c r="AC159" s="4">
        <f t="shared" si="56"/>
        <v>270960.05825959326</v>
      </c>
      <c r="AD159" s="4">
        <f t="shared" si="57"/>
        <v>220460</v>
      </c>
      <c r="AE159" s="5">
        <f t="shared" si="58"/>
        <v>50500.058259593265</v>
      </c>
      <c r="AF159" s="3" t="str">
        <f t="shared" si="59"/>
        <v>Y</v>
      </c>
      <c r="AH159" s="4">
        <f t="shared" si="60"/>
        <v>85471195.363611713</v>
      </c>
      <c r="AI159" s="4">
        <f t="shared" si="61"/>
        <v>69541540</v>
      </c>
    </row>
    <row r="160" spans="1:35">
      <c r="A160" s="3">
        <v>158</v>
      </c>
      <c r="B160" s="3" t="s">
        <v>825</v>
      </c>
      <c r="C160" s="3" t="s">
        <v>667</v>
      </c>
      <c r="D160" s="4">
        <v>74200</v>
      </c>
      <c r="E160" s="4">
        <v>214649439.4184593</v>
      </c>
      <c r="F160" s="4">
        <v>0</v>
      </c>
      <c r="G160" s="4">
        <v>0</v>
      </c>
      <c r="H160" s="4">
        <f t="shared" si="44"/>
        <v>214649439.4184593</v>
      </c>
      <c r="I160" s="4">
        <f t="shared" si="45"/>
        <v>2892.8495878498557</v>
      </c>
      <c r="J160" s="4">
        <v>74100</v>
      </c>
      <c r="K160" s="5">
        <f t="shared" si="46"/>
        <v>74100</v>
      </c>
      <c r="L160" s="4">
        <v>1700</v>
      </c>
      <c r="M160" s="4">
        <f t="shared" si="42"/>
        <v>126259284.958785</v>
      </c>
      <c r="N160" s="4">
        <f t="shared" si="47"/>
        <v>-88390154.459674299</v>
      </c>
      <c r="O160" s="4">
        <f t="shared" si="48"/>
        <v>0</v>
      </c>
      <c r="P160" s="4">
        <f t="shared" si="49"/>
        <v>-88390154.459674299</v>
      </c>
      <c r="T160" s="4">
        <f t="shared" si="50"/>
        <v>2892.8495878498557</v>
      </c>
      <c r="U160" s="4">
        <f t="shared" si="51"/>
        <v>-88390154.459674299</v>
      </c>
      <c r="V160" s="4">
        <f t="shared" si="52"/>
        <v>0</v>
      </c>
      <c r="W160" s="4">
        <f t="shared" si="53"/>
        <v>-88390154.459674299</v>
      </c>
      <c r="X160" s="5">
        <f t="shared" si="54"/>
        <v>126259284.958785</v>
      </c>
      <c r="Y160" s="5">
        <f t="shared" si="55"/>
        <v>0</v>
      </c>
      <c r="Z160" s="5">
        <f t="shared" si="55"/>
        <v>0</v>
      </c>
      <c r="AB160" s="5">
        <f t="shared" si="43"/>
        <v>100</v>
      </c>
      <c r="AC160" s="4">
        <f t="shared" si="56"/>
        <v>289284.95878498559</v>
      </c>
      <c r="AD160" s="4">
        <f t="shared" si="57"/>
        <v>170000</v>
      </c>
      <c r="AE160" s="5">
        <f t="shared" si="58"/>
        <v>119284.95878498559</v>
      </c>
      <c r="AF160" s="3" t="str">
        <f t="shared" si="59"/>
        <v>Y</v>
      </c>
      <c r="AH160" s="4">
        <f t="shared" si="60"/>
        <v>214360154.4596743</v>
      </c>
      <c r="AI160" s="4">
        <f t="shared" si="61"/>
        <v>125970000</v>
      </c>
    </row>
    <row r="161" spans="1:35">
      <c r="A161" s="3">
        <v>159</v>
      </c>
      <c r="B161" s="3" t="s">
        <v>826</v>
      </c>
      <c r="C161" s="3" t="s">
        <v>667</v>
      </c>
      <c r="D161" s="4">
        <v>900</v>
      </c>
      <c r="E161" s="4">
        <v>13791705.549310502</v>
      </c>
      <c r="F161" s="4">
        <v>0</v>
      </c>
      <c r="G161" s="4">
        <v>0</v>
      </c>
      <c r="H161" s="4">
        <f t="shared" si="44"/>
        <v>13791705.549310502</v>
      </c>
      <c r="I161" s="4">
        <f t="shared" si="45"/>
        <v>15324.117277011668</v>
      </c>
      <c r="J161" s="4">
        <v>870</v>
      </c>
      <c r="K161" s="5">
        <f t="shared" si="46"/>
        <v>870</v>
      </c>
      <c r="L161" s="4">
        <v>11300</v>
      </c>
      <c r="M161" s="4">
        <f t="shared" si="42"/>
        <v>10290723.518310349</v>
      </c>
      <c r="N161" s="4">
        <f t="shared" si="47"/>
        <v>-3500982.0310001513</v>
      </c>
      <c r="O161" s="4">
        <f t="shared" si="48"/>
        <v>0</v>
      </c>
      <c r="P161" s="4">
        <f t="shared" si="49"/>
        <v>-3500982.0310001513</v>
      </c>
      <c r="T161" s="4">
        <f t="shared" si="50"/>
        <v>15324.117277011668</v>
      </c>
      <c r="U161" s="4">
        <f t="shared" si="51"/>
        <v>-3500982.0310001513</v>
      </c>
      <c r="V161" s="4">
        <f t="shared" si="52"/>
        <v>0</v>
      </c>
      <c r="W161" s="4">
        <f t="shared" si="53"/>
        <v>-3500982.0310001513</v>
      </c>
      <c r="X161" s="5">
        <f t="shared" si="54"/>
        <v>10290723.518310349</v>
      </c>
      <c r="Y161" s="5">
        <f t="shared" si="55"/>
        <v>0</v>
      </c>
      <c r="Z161" s="5">
        <f t="shared" si="55"/>
        <v>0</v>
      </c>
      <c r="AB161" s="5">
        <f t="shared" si="43"/>
        <v>30</v>
      </c>
      <c r="AC161" s="4">
        <f t="shared" si="56"/>
        <v>459723.51831035002</v>
      </c>
      <c r="AD161" s="4">
        <f t="shared" si="57"/>
        <v>339000</v>
      </c>
      <c r="AE161" s="5">
        <f t="shared" si="58"/>
        <v>120723.51831035002</v>
      </c>
      <c r="AF161" s="3" t="str">
        <f t="shared" si="59"/>
        <v>Y</v>
      </c>
      <c r="AH161" s="4">
        <f t="shared" si="60"/>
        <v>13331982.031000152</v>
      </c>
      <c r="AI161" s="4">
        <f t="shared" si="61"/>
        <v>9831000</v>
      </c>
    </row>
    <row r="162" spans="1:35">
      <c r="A162" s="3">
        <v>160</v>
      </c>
      <c r="B162" s="3" t="s">
        <v>827</v>
      </c>
      <c r="C162" s="3" t="s">
        <v>667</v>
      </c>
      <c r="D162" s="4">
        <v>8000</v>
      </c>
      <c r="E162" s="4">
        <v>95073784.751646906</v>
      </c>
      <c r="F162" s="4">
        <v>0</v>
      </c>
      <c r="G162" s="4">
        <v>0</v>
      </c>
      <c r="H162" s="4">
        <f t="shared" si="44"/>
        <v>95073784.751646906</v>
      </c>
      <c r="I162" s="4">
        <f t="shared" si="45"/>
        <v>11884.223093955863</v>
      </c>
      <c r="J162" s="4">
        <v>7960.1</v>
      </c>
      <c r="K162" s="5">
        <f t="shared" si="46"/>
        <v>7960.1</v>
      </c>
      <c r="L162" s="4">
        <v>11700</v>
      </c>
      <c r="M162" s="4">
        <f t="shared" si="42"/>
        <v>93607350.50144884</v>
      </c>
      <c r="N162" s="4">
        <f t="shared" si="47"/>
        <v>-1466434.2501980658</v>
      </c>
      <c r="O162" s="4">
        <f t="shared" si="48"/>
        <v>0</v>
      </c>
      <c r="P162" s="4">
        <f t="shared" si="49"/>
        <v>-1466434.2501980658</v>
      </c>
      <c r="T162" s="4">
        <f t="shared" si="50"/>
        <v>11884.223093955863</v>
      </c>
      <c r="U162" s="4">
        <f t="shared" si="51"/>
        <v>-1466434.2501980658</v>
      </c>
      <c r="V162" s="4">
        <f t="shared" si="52"/>
        <v>0</v>
      </c>
      <c r="W162" s="4">
        <f t="shared" si="53"/>
        <v>-1466434.2501980658</v>
      </c>
      <c r="X162" s="5">
        <f t="shared" si="54"/>
        <v>93607350.50144884</v>
      </c>
      <c r="Y162" s="5">
        <f t="shared" si="55"/>
        <v>0</v>
      </c>
      <c r="Z162" s="5">
        <f t="shared" si="55"/>
        <v>0</v>
      </c>
      <c r="AB162" s="5">
        <f t="shared" si="43"/>
        <v>39.899999999999636</v>
      </c>
      <c r="AC162" s="4">
        <f t="shared" si="56"/>
        <v>474180.50144883461</v>
      </c>
      <c r="AD162" s="4">
        <f t="shared" si="57"/>
        <v>466829.99999999575</v>
      </c>
      <c r="AE162" s="5">
        <f t="shared" si="58"/>
        <v>7350.5014488388551</v>
      </c>
      <c r="AF162" s="3" t="str">
        <f t="shared" si="59"/>
        <v>Y</v>
      </c>
      <c r="AH162" s="4">
        <f t="shared" si="60"/>
        <v>94599604.250198066</v>
      </c>
      <c r="AI162" s="4">
        <f t="shared" si="61"/>
        <v>93133170</v>
      </c>
    </row>
    <row r="163" spans="1:35">
      <c r="A163" s="3">
        <v>161</v>
      </c>
      <c r="B163" s="3" t="s">
        <v>828</v>
      </c>
      <c r="C163" s="3" t="s">
        <v>667</v>
      </c>
      <c r="D163" s="4">
        <v>4052</v>
      </c>
      <c r="E163" s="4">
        <v>54475008.958108447</v>
      </c>
      <c r="F163" s="4">
        <v>0</v>
      </c>
      <c r="G163" s="4">
        <v>0</v>
      </c>
      <c r="H163" s="4">
        <f t="shared" si="44"/>
        <v>54475008.958108447</v>
      </c>
      <c r="I163" s="4">
        <f t="shared" si="45"/>
        <v>13443.980493116596</v>
      </c>
      <c r="J163" s="4">
        <v>3925.9</v>
      </c>
      <c r="K163" s="5">
        <f t="shared" si="46"/>
        <v>3925.9</v>
      </c>
      <c r="L163" s="4">
        <v>13950</v>
      </c>
      <c r="M163" s="4">
        <f t="shared" si="42"/>
        <v>56461590.940182</v>
      </c>
      <c r="N163" s="4">
        <f t="shared" si="47"/>
        <v>1986581.9820735545</v>
      </c>
      <c r="O163" s="4">
        <f t="shared" si="48"/>
        <v>1986581.9820735545</v>
      </c>
      <c r="P163" s="4">
        <f t="shared" si="49"/>
        <v>0</v>
      </c>
      <c r="T163" s="4">
        <f t="shared" si="50"/>
        <v>13443.980493116596</v>
      </c>
      <c r="U163" s="4">
        <f t="shared" si="51"/>
        <v>1986581.9820735545</v>
      </c>
      <c r="V163" s="4">
        <f t="shared" si="52"/>
        <v>1986581.9820735545</v>
      </c>
      <c r="W163" s="4">
        <f t="shared" si="53"/>
        <v>0</v>
      </c>
      <c r="X163" s="5">
        <f t="shared" si="54"/>
        <v>56461590.940182</v>
      </c>
      <c r="Y163" s="5">
        <f t="shared" si="55"/>
        <v>0</v>
      </c>
      <c r="Z163" s="5">
        <f t="shared" si="55"/>
        <v>0</v>
      </c>
      <c r="AB163" s="5">
        <f t="shared" si="43"/>
        <v>126.09999999999991</v>
      </c>
      <c r="AC163" s="4">
        <f t="shared" si="56"/>
        <v>1695285.9401820016</v>
      </c>
      <c r="AD163" s="4">
        <f t="shared" si="57"/>
        <v>1759094.9999999988</v>
      </c>
      <c r="AE163" s="5">
        <f t="shared" si="58"/>
        <v>-63809.059817997273</v>
      </c>
      <c r="AF163" s="3" t="str">
        <f t="shared" si="59"/>
        <v>N</v>
      </c>
      <c r="AH163" s="4">
        <f t="shared" si="60"/>
        <v>52779723.017926447</v>
      </c>
      <c r="AI163" s="4">
        <f t="shared" si="61"/>
        <v>54766305</v>
      </c>
    </row>
    <row r="164" spans="1:35">
      <c r="A164" s="3">
        <v>162</v>
      </c>
      <c r="B164" s="3" t="s">
        <v>829</v>
      </c>
      <c r="C164" s="3" t="s">
        <v>667</v>
      </c>
      <c r="D164" s="4">
        <v>1260</v>
      </c>
      <c r="E164" s="4">
        <v>66119300.481004894</v>
      </c>
      <c r="F164" s="4">
        <v>0</v>
      </c>
      <c r="G164" s="4">
        <v>0</v>
      </c>
      <c r="H164" s="4">
        <f t="shared" si="44"/>
        <v>66119300.481004894</v>
      </c>
      <c r="I164" s="4">
        <f t="shared" si="45"/>
        <v>52475.635302384835</v>
      </c>
      <c r="J164" s="4">
        <v>1244.4000000000001</v>
      </c>
      <c r="K164" s="5">
        <f t="shared" si="46"/>
        <v>1244.4000000000001</v>
      </c>
      <c r="L164" s="4">
        <v>56600</v>
      </c>
      <c r="M164" s="4">
        <f t="shared" si="42"/>
        <v>71251659.910717204</v>
      </c>
      <c r="N164" s="4">
        <f t="shared" si="47"/>
        <v>5132359.4297123114</v>
      </c>
      <c r="O164" s="4">
        <f t="shared" si="48"/>
        <v>5132359.4297123114</v>
      </c>
      <c r="P164" s="4">
        <f t="shared" si="49"/>
        <v>0</v>
      </c>
      <c r="T164" s="4">
        <f t="shared" si="50"/>
        <v>52475.635302384835</v>
      </c>
      <c r="U164" s="4">
        <f t="shared" si="51"/>
        <v>5132359.4297123114</v>
      </c>
      <c r="V164" s="4">
        <f t="shared" si="52"/>
        <v>5132359.4297123114</v>
      </c>
      <c r="W164" s="4">
        <f t="shared" si="53"/>
        <v>0</v>
      </c>
      <c r="X164" s="5">
        <f t="shared" si="54"/>
        <v>71251659.910717204</v>
      </c>
      <c r="Y164" s="5">
        <f t="shared" si="55"/>
        <v>0</v>
      </c>
      <c r="Z164" s="5">
        <f t="shared" si="55"/>
        <v>0</v>
      </c>
      <c r="AB164" s="5">
        <f t="shared" si="43"/>
        <v>15.599999999999909</v>
      </c>
      <c r="AC164" s="4">
        <f t="shared" si="56"/>
        <v>818619.91071719863</v>
      </c>
      <c r="AD164" s="4">
        <f t="shared" si="57"/>
        <v>882959.99999999488</v>
      </c>
      <c r="AE164" s="5">
        <f t="shared" si="58"/>
        <v>-64340.089282796253</v>
      </c>
      <c r="AF164" s="3" t="str">
        <f t="shared" si="59"/>
        <v>N</v>
      </c>
      <c r="AH164" s="4">
        <f t="shared" si="60"/>
        <v>65300680.570287697</v>
      </c>
      <c r="AI164" s="4">
        <f t="shared" si="61"/>
        <v>70433040</v>
      </c>
    </row>
    <row r="165" spans="1:35">
      <c r="A165" s="3">
        <v>163</v>
      </c>
      <c r="B165" s="3" t="s">
        <v>830</v>
      </c>
      <c r="C165" s="3" t="s">
        <v>667</v>
      </c>
      <c r="D165" s="4">
        <v>24900</v>
      </c>
      <c r="E165" s="4">
        <v>116144124.23167047</v>
      </c>
      <c r="F165" s="4">
        <v>0</v>
      </c>
      <c r="G165" s="4">
        <v>0</v>
      </c>
      <c r="H165" s="4">
        <f t="shared" si="44"/>
        <v>116144124.23167047</v>
      </c>
      <c r="I165" s="4">
        <f t="shared" si="45"/>
        <v>4664.4226599064441</v>
      </c>
      <c r="J165" s="4">
        <v>24800.1</v>
      </c>
      <c r="K165" s="5">
        <f t="shared" si="46"/>
        <v>24800.1</v>
      </c>
      <c r="L165" s="4">
        <v>6460</v>
      </c>
      <c r="M165" s="4">
        <f t="shared" si="42"/>
        <v>160674621.82372466</v>
      </c>
      <c r="N165" s="4">
        <f t="shared" si="47"/>
        <v>44530497.592054196</v>
      </c>
      <c r="O165" s="4">
        <f t="shared" si="48"/>
        <v>44530497.592054196</v>
      </c>
      <c r="P165" s="4">
        <f t="shared" si="49"/>
        <v>0</v>
      </c>
      <c r="T165" s="4">
        <f t="shared" si="50"/>
        <v>4664.4226599064441</v>
      </c>
      <c r="U165" s="4">
        <f t="shared" si="51"/>
        <v>44530497.592054196</v>
      </c>
      <c r="V165" s="4">
        <f t="shared" si="52"/>
        <v>44530497.592054196</v>
      </c>
      <c r="W165" s="4">
        <f t="shared" si="53"/>
        <v>0</v>
      </c>
      <c r="X165" s="5">
        <f t="shared" si="54"/>
        <v>160674621.82372466</v>
      </c>
      <c r="Y165" s="5">
        <f t="shared" si="55"/>
        <v>0</v>
      </c>
      <c r="Z165" s="5">
        <f t="shared" si="55"/>
        <v>0</v>
      </c>
      <c r="AB165" s="5">
        <f t="shared" si="43"/>
        <v>99.900000000001455</v>
      </c>
      <c r="AC165" s="4">
        <f t="shared" si="56"/>
        <v>465975.82372466056</v>
      </c>
      <c r="AD165" s="4">
        <f t="shared" si="57"/>
        <v>645354.00000000943</v>
      </c>
      <c r="AE165" s="5">
        <f t="shared" si="58"/>
        <v>-179378.17627534887</v>
      </c>
      <c r="AF165" s="3" t="str">
        <f t="shared" si="59"/>
        <v>N</v>
      </c>
      <c r="AH165" s="4">
        <f t="shared" si="60"/>
        <v>115678148.4079458</v>
      </c>
      <c r="AI165" s="4">
        <f t="shared" si="61"/>
        <v>160208646</v>
      </c>
    </row>
    <row r="166" spans="1:35">
      <c r="A166" s="3">
        <v>164</v>
      </c>
      <c r="B166" s="3" t="s">
        <v>831</v>
      </c>
      <c r="C166" s="3" t="s">
        <v>667</v>
      </c>
      <c r="D166" s="4">
        <v>1010</v>
      </c>
      <c r="E166" s="4">
        <v>10252543.083881445</v>
      </c>
      <c r="F166" s="4">
        <v>0</v>
      </c>
      <c r="G166" s="4">
        <v>0</v>
      </c>
      <c r="H166" s="4">
        <f t="shared" si="44"/>
        <v>10252543.083881445</v>
      </c>
      <c r="I166" s="4">
        <f t="shared" si="45"/>
        <v>10151.032756318262</v>
      </c>
      <c r="J166" s="4">
        <v>960.9</v>
      </c>
      <c r="K166" s="5">
        <f t="shared" si="46"/>
        <v>960.9</v>
      </c>
      <c r="L166" s="4">
        <v>10800</v>
      </c>
      <c r="M166" s="4">
        <f t="shared" si="42"/>
        <v>10876135.708335228</v>
      </c>
      <c r="N166" s="4">
        <f t="shared" si="47"/>
        <v>623592.62445378222</v>
      </c>
      <c r="O166" s="4">
        <f t="shared" si="48"/>
        <v>623592.62445378222</v>
      </c>
      <c r="P166" s="4">
        <f t="shared" si="49"/>
        <v>0</v>
      </c>
      <c r="T166" s="4">
        <f t="shared" si="50"/>
        <v>10151.032756318262</v>
      </c>
      <c r="U166" s="4">
        <f t="shared" si="51"/>
        <v>623592.62445378222</v>
      </c>
      <c r="V166" s="4">
        <f t="shared" si="52"/>
        <v>623592.62445378222</v>
      </c>
      <c r="W166" s="4">
        <f t="shared" si="53"/>
        <v>0</v>
      </c>
      <c r="X166" s="5">
        <f t="shared" si="54"/>
        <v>10876135.708335228</v>
      </c>
      <c r="Y166" s="5">
        <f t="shared" si="55"/>
        <v>0</v>
      </c>
      <c r="Z166" s="5">
        <f t="shared" si="55"/>
        <v>0</v>
      </c>
      <c r="AB166" s="5">
        <f t="shared" si="43"/>
        <v>49.100000000000023</v>
      </c>
      <c r="AC166" s="4">
        <f t="shared" si="56"/>
        <v>498415.70833522687</v>
      </c>
      <c r="AD166" s="4">
        <f t="shared" si="57"/>
        <v>530280.00000000023</v>
      </c>
      <c r="AE166" s="5">
        <f t="shared" si="58"/>
        <v>-31864.291664773365</v>
      </c>
      <c r="AF166" s="3" t="str">
        <f t="shared" si="59"/>
        <v>N</v>
      </c>
      <c r="AH166" s="4">
        <f t="shared" si="60"/>
        <v>9754127.375546217</v>
      </c>
      <c r="AI166" s="4">
        <f t="shared" si="61"/>
        <v>10377720</v>
      </c>
    </row>
    <row r="167" spans="1:35">
      <c r="A167" s="3">
        <v>165</v>
      </c>
      <c r="B167" s="3" t="s">
        <v>832</v>
      </c>
      <c r="C167" s="3" t="s">
        <v>667</v>
      </c>
      <c r="D167" s="4">
        <v>3242</v>
      </c>
      <c r="E167" s="4">
        <v>37337188.22786285</v>
      </c>
      <c r="F167" s="4">
        <v>0</v>
      </c>
      <c r="G167" s="4">
        <v>0</v>
      </c>
      <c r="H167" s="4">
        <f t="shared" si="44"/>
        <v>37337188.22786285</v>
      </c>
      <c r="I167" s="4">
        <f t="shared" si="45"/>
        <v>11516.714444127962</v>
      </c>
      <c r="J167" s="4">
        <v>3126.5</v>
      </c>
      <c r="K167" s="5">
        <f t="shared" si="46"/>
        <v>3126.5</v>
      </c>
      <c r="L167" s="4">
        <v>9860</v>
      </c>
      <c r="M167" s="4">
        <f t="shared" si="42"/>
        <v>32157470.518296778</v>
      </c>
      <c r="N167" s="4">
        <f t="shared" si="47"/>
        <v>-5179717.7095660716</v>
      </c>
      <c r="O167" s="4">
        <f t="shared" si="48"/>
        <v>0</v>
      </c>
      <c r="P167" s="4">
        <f t="shared" si="49"/>
        <v>-5179717.7095660716</v>
      </c>
      <c r="T167" s="4">
        <f t="shared" si="50"/>
        <v>11516.714444127962</v>
      </c>
      <c r="U167" s="4">
        <f t="shared" si="51"/>
        <v>-5179717.7095660716</v>
      </c>
      <c r="V167" s="4">
        <f t="shared" si="52"/>
        <v>0</v>
      </c>
      <c r="W167" s="4">
        <f t="shared" si="53"/>
        <v>-5179717.7095660716</v>
      </c>
      <c r="X167" s="5">
        <f t="shared" si="54"/>
        <v>32157470.518296778</v>
      </c>
      <c r="Y167" s="5">
        <f t="shared" si="55"/>
        <v>0</v>
      </c>
      <c r="Z167" s="5">
        <f t="shared" si="55"/>
        <v>0</v>
      </c>
      <c r="AB167" s="5">
        <f t="shared" si="43"/>
        <v>115.5</v>
      </c>
      <c r="AC167" s="4">
        <f t="shared" si="56"/>
        <v>1330180.5182967796</v>
      </c>
      <c r="AD167" s="4">
        <f t="shared" si="57"/>
        <v>1138830</v>
      </c>
      <c r="AE167" s="5">
        <f t="shared" si="58"/>
        <v>191350.5182967796</v>
      </c>
      <c r="AF167" s="3" t="str">
        <f t="shared" si="59"/>
        <v>Y</v>
      </c>
      <c r="AH167" s="4">
        <f t="shared" si="60"/>
        <v>36007007.709566072</v>
      </c>
      <c r="AI167" s="4">
        <f t="shared" si="61"/>
        <v>30827290</v>
      </c>
    </row>
    <row r="168" spans="1:35">
      <c r="A168" s="3">
        <v>166</v>
      </c>
      <c r="B168" s="3" t="s">
        <v>833</v>
      </c>
      <c r="C168" s="3" t="s">
        <v>667</v>
      </c>
      <c r="D168" s="4">
        <v>34500</v>
      </c>
      <c r="E168" s="4">
        <v>132023745.66198976</v>
      </c>
      <c r="F168" s="4">
        <v>0</v>
      </c>
      <c r="G168" s="4">
        <v>0</v>
      </c>
      <c r="H168" s="4">
        <f t="shared" si="44"/>
        <v>132023745.66198976</v>
      </c>
      <c r="I168" s="4">
        <f t="shared" si="45"/>
        <v>3826.7752365794136</v>
      </c>
      <c r="J168" s="4">
        <v>34461.4</v>
      </c>
      <c r="K168" s="5">
        <f t="shared" si="46"/>
        <v>34461.4</v>
      </c>
      <c r="L168" s="4">
        <v>3380</v>
      </c>
      <c r="M168" s="4">
        <f t="shared" si="42"/>
        <v>116627245.52413195</v>
      </c>
      <c r="N168" s="4">
        <f t="shared" si="47"/>
        <v>-15396500.137857802</v>
      </c>
      <c r="O168" s="4">
        <f t="shared" si="48"/>
        <v>0</v>
      </c>
      <c r="P168" s="4">
        <f t="shared" si="49"/>
        <v>-15396500.137857802</v>
      </c>
      <c r="T168" s="4">
        <f t="shared" si="50"/>
        <v>3826.7752365794136</v>
      </c>
      <c r="U168" s="4">
        <f t="shared" si="51"/>
        <v>-15396500.137857802</v>
      </c>
      <c r="V168" s="4">
        <f t="shared" si="52"/>
        <v>0</v>
      </c>
      <c r="W168" s="4">
        <f t="shared" si="53"/>
        <v>-15396500.137857802</v>
      </c>
      <c r="X168" s="5">
        <f t="shared" si="54"/>
        <v>116627245.52413195</v>
      </c>
      <c r="Y168" s="5">
        <f t="shared" si="55"/>
        <v>0</v>
      </c>
      <c r="Z168" s="5">
        <f t="shared" si="55"/>
        <v>0</v>
      </c>
      <c r="AB168" s="5">
        <f t="shared" si="43"/>
        <v>38.599999999998545</v>
      </c>
      <c r="AC168" s="4">
        <f t="shared" si="56"/>
        <v>147713.5241319598</v>
      </c>
      <c r="AD168" s="4">
        <f t="shared" si="57"/>
        <v>130467.99999999508</v>
      </c>
      <c r="AE168" s="5">
        <f t="shared" si="58"/>
        <v>17245.524131964718</v>
      </c>
      <c r="AF168" s="3" t="str">
        <f t="shared" si="59"/>
        <v>Y</v>
      </c>
      <c r="AH168" s="4">
        <f t="shared" si="60"/>
        <v>131876032.13785781</v>
      </c>
      <c r="AI168" s="4">
        <f t="shared" si="61"/>
        <v>116479532</v>
      </c>
    </row>
    <row r="169" spans="1:35">
      <c r="A169" s="3">
        <v>167</v>
      </c>
      <c r="B169" s="3" t="s">
        <v>834</v>
      </c>
      <c r="C169" s="3" t="s">
        <v>667</v>
      </c>
      <c r="D169" s="4">
        <v>12166</v>
      </c>
      <c r="E169" s="4">
        <v>302014168.88092512</v>
      </c>
      <c r="F169" s="4">
        <v>0</v>
      </c>
      <c r="G169" s="4">
        <v>0</v>
      </c>
      <c r="H169" s="4">
        <f t="shared" si="44"/>
        <v>302014168.88092512</v>
      </c>
      <c r="I169" s="4">
        <f t="shared" si="45"/>
        <v>24824.442617205747</v>
      </c>
      <c r="J169" s="4">
        <v>12141.1</v>
      </c>
      <c r="K169" s="5">
        <f t="shared" si="46"/>
        <v>12141.1</v>
      </c>
      <c r="L169" s="4">
        <v>31750</v>
      </c>
      <c r="M169" s="4">
        <f t="shared" si="42"/>
        <v>386098053.62116843</v>
      </c>
      <c r="N169" s="4">
        <f t="shared" si="47"/>
        <v>84083884.740243316</v>
      </c>
      <c r="O169" s="4">
        <f t="shared" si="48"/>
        <v>84083884.740243316</v>
      </c>
      <c r="P169" s="4">
        <f t="shared" si="49"/>
        <v>0</v>
      </c>
      <c r="T169" s="4">
        <f t="shared" si="50"/>
        <v>24824.442617205747</v>
      </c>
      <c r="U169" s="4">
        <f t="shared" si="51"/>
        <v>84083884.740243316</v>
      </c>
      <c r="V169" s="4">
        <f t="shared" si="52"/>
        <v>84083884.740243316</v>
      </c>
      <c r="W169" s="4">
        <f t="shared" si="53"/>
        <v>0</v>
      </c>
      <c r="X169" s="5">
        <f t="shared" si="54"/>
        <v>386098053.62116843</v>
      </c>
      <c r="Y169" s="5">
        <f t="shared" si="55"/>
        <v>0</v>
      </c>
      <c r="Z169" s="5">
        <f t="shared" si="55"/>
        <v>0</v>
      </c>
      <c r="AB169" s="5">
        <f t="shared" si="43"/>
        <v>24.899999999999636</v>
      </c>
      <c r="AC169" s="4">
        <f t="shared" si="56"/>
        <v>618128.62116841401</v>
      </c>
      <c r="AD169" s="4">
        <f t="shared" si="57"/>
        <v>790574.99999998847</v>
      </c>
      <c r="AE169" s="5">
        <f t="shared" si="58"/>
        <v>-172446.37883157446</v>
      </c>
      <c r="AF169" s="3" t="str">
        <f t="shared" si="59"/>
        <v>N</v>
      </c>
      <c r="AH169" s="4">
        <f t="shared" si="60"/>
        <v>301396040.25975668</v>
      </c>
      <c r="AI169" s="4">
        <f t="shared" si="61"/>
        <v>385479925</v>
      </c>
    </row>
    <row r="170" spans="1:35">
      <c r="A170" s="3">
        <v>168</v>
      </c>
      <c r="B170" s="3" t="s">
        <v>835</v>
      </c>
      <c r="C170" s="3" t="s">
        <v>667</v>
      </c>
      <c r="D170" s="4">
        <v>300</v>
      </c>
      <c r="E170" s="4">
        <v>16762210.456009194</v>
      </c>
      <c r="F170" s="4">
        <v>0</v>
      </c>
      <c r="G170" s="4">
        <v>0</v>
      </c>
      <c r="H170" s="4">
        <f t="shared" si="44"/>
        <v>16762210.456009194</v>
      </c>
      <c r="I170" s="4">
        <f t="shared" si="45"/>
        <v>55874.034853363984</v>
      </c>
      <c r="J170" s="4">
        <v>208.2</v>
      </c>
      <c r="K170" s="5">
        <f t="shared" si="46"/>
        <v>208.2</v>
      </c>
      <c r="L170" s="4">
        <v>63000</v>
      </c>
      <c r="M170" s="4">
        <f t="shared" si="42"/>
        <v>18245836.399538811</v>
      </c>
      <c r="N170" s="4">
        <f t="shared" si="47"/>
        <v>1483625.9435296184</v>
      </c>
      <c r="O170" s="4">
        <f t="shared" si="48"/>
        <v>1483625.9435296184</v>
      </c>
      <c r="P170" s="4">
        <f t="shared" si="49"/>
        <v>0</v>
      </c>
      <c r="T170" s="4">
        <f t="shared" si="50"/>
        <v>55874.034853363984</v>
      </c>
      <c r="U170" s="4">
        <f t="shared" si="51"/>
        <v>1483625.9435296184</v>
      </c>
      <c r="V170" s="4">
        <f t="shared" si="52"/>
        <v>1483625.9435296184</v>
      </c>
      <c r="W170" s="4">
        <f t="shared" si="53"/>
        <v>0</v>
      </c>
      <c r="X170" s="5">
        <f t="shared" si="54"/>
        <v>18245836.399538811</v>
      </c>
      <c r="Y170" s="5">
        <f t="shared" si="55"/>
        <v>0</v>
      </c>
      <c r="Z170" s="5">
        <f t="shared" si="55"/>
        <v>0</v>
      </c>
      <c r="AB170" s="5">
        <f t="shared" si="43"/>
        <v>91.800000000000011</v>
      </c>
      <c r="AC170" s="4">
        <f t="shared" si="56"/>
        <v>5129236.3995388141</v>
      </c>
      <c r="AD170" s="4">
        <f t="shared" si="57"/>
        <v>5783400.0000000009</v>
      </c>
      <c r="AE170" s="5">
        <f t="shared" si="58"/>
        <v>-654163.60046118684</v>
      </c>
      <c r="AF170" s="3" t="str">
        <f t="shared" si="59"/>
        <v>N</v>
      </c>
      <c r="AH170" s="4">
        <f t="shared" si="60"/>
        <v>11632974.056470381</v>
      </c>
      <c r="AI170" s="4">
        <f t="shared" si="61"/>
        <v>13116600</v>
      </c>
    </row>
    <row r="171" spans="1:35">
      <c r="A171" s="3">
        <v>169</v>
      </c>
      <c r="B171" s="3" t="s">
        <v>836</v>
      </c>
      <c r="C171" s="3" t="s">
        <v>667</v>
      </c>
      <c r="D171" s="4">
        <v>3120</v>
      </c>
      <c r="E171" s="4">
        <v>76063991.963305444</v>
      </c>
      <c r="F171" s="4">
        <v>0</v>
      </c>
      <c r="G171" s="4">
        <v>0</v>
      </c>
      <c r="H171" s="4">
        <f t="shared" si="44"/>
        <v>76063991.963305444</v>
      </c>
      <c r="I171" s="4">
        <f t="shared" si="45"/>
        <v>24379.484603623539</v>
      </c>
      <c r="J171" s="4">
        <v>3014.3</v>
      </c>
      <c r="K171" s="5">
        <f t="shared" si="46"/>
        <v>3014.3</v>
      </c>
      <c r="L171" s="4">
        <v>31400</v>
      </c>
      <c r="M171" s="4">
        <f t="shared" si="42"/>
        <v>97225931.522603005</v>
      </c>
      <c r="N171" s="4">
        <f t="shared" si="47"/>
        <v>21161939.559297565</v>
      </c>
      <c r="O171" s="4">
        <f t="shared" si="48"/>
        <v>21161939.559297565</v>
      </c>
      <c r="P171" s="4">
        <f t="shared" si="49"/>
        <v>0</v>
      </c>
      <c r="T171" s="4">
        <f t="shared" si="50"/>
        <v>24379.484603623539</v>
      </c>
      <c r="U171" s="4">
        <f t="shared" si="51"/>
        <v>21161939.559297565</v>
      </c>
      <c r="V171" s="4">
        <f t="shared" si="52"/>
        <v>21161939.559297565</v>
      </c>
      <c r="W171" s="4">
        <f t="shared" si="53"/>
        <v>0</v>
      </c>
      <c r="X171" s="5">
        <f t="shared" si="54"/>
        <v>97225931.522603005</v>
      </c>
      <c r="Y171" s="5">
        <f t="shared" si="55"/>
        <v>0</v>
      </c>
      <c r="Z171" s="5">
        <f t="shared" si="55"/>
        <v>0</v>
      </c>
      <c r="AB171" s="5">
        <f t="shared" si="43"/>
        <v>105.69999999999982</v>
      </c>
      <c r="AC171" s="4">
        <f t="shared" si="56"/>
        <v>2576911.5226030038</v>
      </c>
      <c r="AD171" s="4">
        <f t="shared" si="57"/>
        <v>3318979.9999999944</v>
      </c>
      <c r="AE171" s="5">
        <f t="shared" si="58"/>
        <v>-742068.47739699064</v>
      </c>
      <c r="AF171" s="3" t="str">
        <f t="shared" si="59"/>
        <v>N</v>
      </c>
      <c r="AH171" s="4">
        <f t="shared" si="60"/>
        <v>73487080.440702438</v>
      </c>
      <c r="AI171" s="4">
        <f t="shared" si="61"/>
        <v>94649020</v>
      </c>
    </row>
    <row r="172" spans="1:35">
      <c r="A172" s="3">
        <v>170</v>
      </c>
      <c r="B172" s="3" t="s">
        <v>837</v>
      </c>
      <c r="C172" s="3" t="s">
        <v>667</v>
      </c>
      <c r="D172" s="4">
        <v>15720</v>
      </c>
      <c r="E172" s="4">
        <v>81238284.072087094</v>
      </c>
      <c r="F172" s="4">
        <v>0</v>
      </c>
      <c r="G172" s="4">
        <v>0</v>
      </c>
      <c r="H172" s="4">
        <f t="shared" si="44"/>
        <v>81238284.072087094</v>
      </c>
      <c r="I172" s="4">
        <f t="shared" si="45"/>
        <v>5167.8297755780595</v>
      </c>
      <c r="J172" s="4">
        <v>15686</v>
      </c>
      <c r="K172" s="5">
        <f t="shared" si="46"/>
        <v>15686</v>
      </c>
      <c r="L172" s="4">
        <v>6270</v>
      </c>
      <c r="M172" s="4">
        <f t="shared" si="42"/>
        <v>98526926.212369651</v>
      </c>
      <c r="N172" s="4">
        <f t="shared" si="47"/>
        <v>17288642.14028256</v>
      </c>
      <c r="O172" s="4">
        <f t="shared" si="48"/>
        <v>17288642.14028256</v>
      </c>
      <c r="P172" s="4">
        <f t="shared" si="49"/>
        <v>0</v>
      </c>
      <c r="T172" s="4">
        <f t="shared" si="50"/>
        <v>5167.8297755780595</v>
      </c>
      <c r="U172" s="4">
        <f t="shared" si="51"/>
        <v>17288642.14028256</v>
      </c>
      <c r="V172" s="4">
        <f t="shared" si="52"/>
        <v>17288642.14028256</v>
      </c>
      <c r="W172" s="4">
        <f t="shared" si="53"/>
        <v>0</v>
      </c>
      <c r="X172" s="5">
        <f t="shared" si="54"/>
        <v>98526926.212369651</v>
      </c>
      <c r="Y172" s="5">
        <f t="shared" si="55"/>
        <v>0</v>
      </c>
      <c r="Z172" s="5">
        <f t="shared" si="55"/>
        <v>0</v>
      </c>
      <c r="AB172" s="5">
        <f t="shared" si="43"/>
        <v>34</v>
      </c>
      <c r="AC172" s="4">
        <f t="shared" si="56"/>
        <v>175706.21236965404</v>
      </c>
      <c r="AD172" s="4">
        <f t="shared" si="57"/>
        <v>213180</v>
      </c>
      <c r="AE172" s="5">
        <f t="shared" si="58"/>
        <v>-37473.787630345963</v>
      </c>
      <c r="AF172" s="3" t="str">
        <f t="shared" si="59"/>
        <v>N</v>
      </c>
      <c r="AH172" s="4">
        <f t="shared" si="60"/>
        <v>81062577.859717444</v>
      </c>
      <c r="AI172" s="4">
        <f t="shared" si="61"/>
        <v>98351220</v>
      </c>
    </row>
    <row r="173" spans="1:35">
      <c r="A173" s="3">
        <v>171</v>
      </c>
      <c r="B173" s="3" t="s">
        <v>838</v>
      </c>
      <c r="C173" s="3" t="s">
        <v>667</v>
      </c>
      <c r="D173" s="4">
        <v>6080</v>
      </c>
      <c r="E173" s="4">
        <v>63063681.549584128</v>
      </c>
      <c r="F173" s="4">
        <v>0</v>
      </c>
      <c r="G173" s="4">
        <v>0</v>
      </c>
      <c r="H173" s="4">
        <f t="shared" si="44"/>
        <v>63063681.549584128</v>
      </c>
      <c r="I173" s="4">
        <f t="shared" si="45"/>
        <v>10372.316044339495</v>
      </c>
      <c r="J173" s="4">
        <v>6044.2</v>
      </c>
      <c r="K173" s="5">
        <f t="shared" si="46"/>
        <v>6044.2</v>
      </c>
      <c r="L173" s="4">
        <v>9170</v>
      </c>
      <c r="M173" s="4">
        <f t="shared" si="42"/>
        <v>55796642.914387353</v>
      </c>
      <c r="N173" s="4">
        <f t="shared" si="47"/>
        <v>-7267038.635196778</v>
      </c>
      <c r="O173" s="4">
        <f t="shared" si="48"/>
        <v>0</v>
      </c>
      <c r="P173" s="4">
        <f t="shared" si="49"/>
        <v>-7267038.635196778</v>
      </c>
      <c r="T173" s="4">
        <f t="shared" si="50"/>
        <v>10372.316044339495</v>
      </c>
      <c r="U173" s="4">
        <f t="shared" si="51"/>
        <v>-7267038.635196778</v>
      </c>
      <c r="V173" s="4">
        <f t="shared" si="52"/>
        <v>0</v>
      </c>
      <c r="W173" s="4">
        <f t="shared" si="53"/>
        <v>-7267038.635196778</v>
      </c>
      <c r="X173" s="5">
        <f t="shared" si="54"/>
        <v>55796642.914387353</v>
      </c>
      <c r="Y173" s="5">
        <f t="shared" si="55"/>
        <v>0</v>
      </c>
      <c r="Z173" s="5">
        <f t="shared" si="55"/>
        <v>0</v>
      </c>
      <c r="AB173" s="5">
        <f t="shared" si="43"/>
        <v>35.800000000000182</v>
      </c>
      <c r="AC173" s="4">
        <f t="shared" si="56"/>
        <v>371328.91438735585</v>
      </c>
      <c r="AD173" s="4">
        <f t="shared" si="57"/>
        <v>328286.00000000169</v>
      </c>
      <c r="AE173" s="5">
        <f t="shared" si="58"/>
        <v>43042.914387354162</v>
      </c>
      <c r="AF173" s="3" t="str">
        <f t="shared" si="59"/>
        <v>Y</v>
      </c>
      <c r="AH173" s="4">
        <f t="shared" si="60"/>
        <v>62692352.635196775</v>
      </c>
      <c r="AI173" s="4">
        <f t="shared" si="61"/>
        <v>55425314</v>
      </c>
    </row>
    <row r="174" spans="1:35">
      <c r="A174" s="3">
        <v>172</v>
      </c>
      <c r="B174" s="3" t="s">
        <v>839</v>
      </c>
      <c r="C174" s="3" t="s">
        <v>667</v>
      </c>
      <c r="D174" s="4">
        <v>9000</v>
      </c>
      <c r="E174" s="4">
        <v>32867779.708900154</v>
      </c>
      <c r="F174" s="4">
        <v>0</v>
      </c>
      <c r="G174" s="4">
        <v>0</v>
      </c>
      <c r="H174" s="4">
        <f t="shared" si="44"/>
        <v>32867779.708900154</v>
      </c>
      <c r="I174" s="4">
        <f t="shared" si="45"/>
        <v>3651.9755232111283</v>
      </c>
      <c r="J174" s="4">
        <v>8979.9</v>
      </c>
      <c r="K174" s="5">
        <f t="shared" si="46"/>
        <v>8979.9</v>
      </c>
      <c r="L174" s="4">
        <v>3530</v>
      </c>
      <c r="M174" s="4">
        <f t="shared" si="42"/>
        <v>31772451.708016541</v>
      </c>
      <c r="N174" s="4">
        <f t="shared" si="47"/>
        <v>-1095328.0008836114</v>
      </c>
      <c r="O174" s="4">
        <f t="shared" si="48"/>
        <v>0</v>
      </c>
      <c r="P174" s="4">
        <f t="shared" si="49"/>
        <v>-1095328.0008836114</v>
      </c>
      <c r="T174" s="4">
        <f t="shared" si="50"/>
        <v>3651.9755232111283</v>
      </c>
      <c r="U174" s="4">
        <f t="shared" si="51"/>
        <v>-1095328.0008836114</v>
      </c>
      <c r="V174" s="4">
        <f t="shared" si="52"/>
        <v>0</v>
      </c>
      <c r="W174" s="4">
        <f t="shared" si="53"/>
        <v>-1095328.0008836114</v>
      </c>
      <c r="X174" s="5">
        <f t="shared" si="54"/>
        <v>31772451.708016541</v>
      </c>
      <c r="Y174" s="5">
        <f t="shared" si="55"/>
        <v>0</v>
      </c>
      <c r="Z174" s="5">
        <f t="shared" si="55"/>
        <v>0</v>
      </c>
      <c r="AB174" s="5">
        <f t="shared" si="43"/>
        <v>20.100000000000364</v>
      </c>
      <c r="AC174" s="4">
        <f t="shared" si="56"/>
        <v>73404.708016545002</v>
      </c>
      <c r="AD174" s="4">
        <f t="shared" si="57"/>
        <v>70953.000000001281</v>
      </c>
      <c r="AE174" s="5">
        <f t="shared" si="58"/>
        <v>2451.7080165437219</v>
      </c>
      <c r="AF174" s="3" t="str">
        <f t="shared" si="59"/>
        <v>Y</v>
      </c>
      <c r="AH174" s="4">
        <f t="shared" si="60"/>
        <v>32794375.000883609</v>
      </c>
      <c r="AI174" s="4">
        <f t="shared" si="61"/>
        <v>31699047</v>
      </c>
    </row>
    <row r="175" spans="1:35">
      <c r="A175" s="3">
        <v>173</v>
      </c>
      <c r="B175" s="3" t="s">
        <v>840</v>
      </c>
      <c r="C175" s="3" t="s">
        <v>667</v>
      </c>
      <c r="D175" s="4">
        <v>100</v>
      </c>
      <c r="E175" s="4">
        <v>3482412.0604166682</v>
      </c>
      <c r="F175" s="4">
        <v>0</v>
      </c>
      <c r="G175" s="4">
        <v>0</v>
      </c>
      <c r="H175" s="4">
        <f t="shared" si="44"/>
        <v>3482412.0604166682</v>
      </c>
      <c r="I175" s="4">
        <f t="shared" si="45"/>
        <v>34824.120604166681</v>
      </c>
      <c r="J175" s="4">
        <v>50.1</v>
      </c>
      <c r="K175" s="5">
        <f t="shared" si="46"/>
        <v>50.1</v>
      </c>
      <c r="L175" s="4">
        <v>39650</v>
      </c>
      <c r="M175" s="4">
        <f t="shared" si="42"/>
        <v>3724188.6181479176</v>
      </c>
      <c r="N175" s="4">
        <f t="shared" si="47"/>
        <v>241776.55773124928</v>
      </c>
      <c r="O175" s="4">
        <f t="shared" si="48"/>
        <v>241776.55773124928</v>
      </c>
      <c r="P175" s="4">
        <f t="shared" si="49"/>
        <v>0</v>
      </c>
      <c r="T175" s="4">
        <f t="shared" si="50"/>
        <v>34824.120604166681</v>
      </c>
      <c r="U175" s="4">
        <f t="shared" si="51"/>
        <v>241776.55773124928</v>
      </c>
      <c r="V175" s="4">
        <f t="shared" si="52"/>
        <v>241776.55773124928</v>
      </c>
      <c r="W175" s="4">
        <f t="shared" si="53"/>
        <v>0</v>
      </c>
      <c r="X175" s="5">
        <f t="shared" si="54"/>
        <v>3724188.6181479176</v>
      </c>
      <c r="Y175" s="5">
        <f t="shared" si="55"/>
        <v>0</v>
      </c>
      <c r="Z175" s="5">
        <f t="shared" si="55"/>
        <v>0</v>
      </c>
      <c r="AB175" s="5">
        <f t="shared" si="43"/>
        <v>49.9</v>
      </c>
      <c r="AC175" s="4">
        <f t="shared" si="56"/>
        <v>1737723.6181479173</v>
      </c>
      <c r="AD175" s="4">
        <f t="shared" si="57"/>
        <v>1978535</v>
      </c>
      <c r="AE175" s="5">
        <f t="shared" si="58"/>
        <v>-240811.38185208268</v>
      </c>
      <c r="AF175" s="3" t="str">
        <f t="shared" si="59"/>
        <v>N</v>
      </c>
      <c r="AH175" s="4">
        <f t="shared" si="60"/>
        <v>1744688.4422687509</v>
      </c>
      <c r="AI175" s="4">
        <f t="shared" si="61"/>
        <v>1986465</v>
      </c>
    </row>
    <row r="176" spans="1:35">
      <c r="A176" s="3">
        <v>174</v>
      </c>
      <c r="B176" s="3" t="s">
        <v>841</v>
      </c>
      <c r="C176" s="3" t="s">
        <v>667</v>
      </c>
      <c r="D176" s="4">
        <v>4805</v>
      </c>
      <c r="E176" s="4">
        <v>47340165.048929401</v>
      </c>
      <c r="F176" s="4">
        <v>0</v>
      </c>
      <c r="G176" s="4">
        <v>0</v>
      </c>
      <c r="H176" s="4">
        <f t="shared" si="44"/>
        <v>47340165.048929401</v>
      </c>
      <c r="I176" s="4">
        <f t="shared" si="45"/>
        <v>9852.2716022745899</v>
      </c>
      <c r="J176" s="4">
        <v>4690</v>
      </c>
      <c r="K176" s="5">
        <f t="shared" si="46"/>
        <v>4690</v>
      </c>
      <c r="L176" s="4">
        <v>5370</v>
      </c>
      <c r="M176" s="4">
        <f t="shared" si="42"/>
        <v>26318311.234261572</v>
      </c>
      <c r="N176" s="4">
        <f t="shared" si="47"/>
        <v>-21021853.814667828</v>
      </c>
      <c r="O176" s="4">
        <f t="shared" si="48"/>
        <v>0</v>
      </c>
      <c r="P176" s="4">
        <f t="shared" si="49"/>
        <v>-21021853.814667828</v>
      </c>
      <c r="T176" s="4">
        <f t="shared" si="50"/>
        <v>9852.2716022745899</v>
      </c>
      <c r="U176" s="4">
        <f t="shared" si="51"/>
        <v>-21021853.814667828</v>
      </c>
      <c r="V176" s="4">
        <f t="shared" si="52"/>
        <v>0</v>
      </c>
      <c r="W176" s="4">
        <f t="shared" si="53"/>
        <v>-21021853.814667828</v>
      </c>
      <c r="X176" s="5">
        <f t="shared" si="54"/>
        <v>26318311.234261572</v>
      </c>
      <c r="Y176" s="5">
        <f t="shared" si="55"/>
        <v>0</v>
      </c>
      <c r="Z176" s="5">
        <f t="shared" si="55"/>
        <v>0</v>
      </c>
      <c r="AB176" s="5">
        <f t="shared" si="43"/>
        <v>115</v>
      </c>
      <c r="AC176" s="4">
        <f t="shared" si="56"/>
        <v>1133011.2342615779</v>
      </c>
      <c r="AD176" s="4">
        <f t="shared" si="57"/>
        <v>617550</v>
      </c>
      <c r="AE176" s="5">
        <f t="shared" si="58"/>
        <v>515461.23426157795</v>
      </c>
      <c r="AF176" s="3" t="str">
        <f t="shared" si="59"/>
        <v>Y</v>
      </c>
      <c r="AH176" s="4">
        <f t="shared" si="60"/>
        <v>46207153.814667828</v>
      </c>
      <c r="AI176" s="4">
        <f t="shared" si="61"/>
        <v>25185300</v>
      </c>
    </row>
    <row r="177" spans="1:35">
      <c r="A177" s="3">
        <v>175</v>
      </c>
      <c r="B177" s="3" t="s">
        <v>842</v>
      </c>
      <c r="C177" s="3" t="s">
        <v>667</v>
      </c>
      <c r="D177" s="4">
        <v>2600</v>
      </c>
      <c r="E177" s="4">
        <v>66733786.674591102</v>
      </c>
      <c r="F177" s="4">
        <v>0</v>
      </c>
      <c r="G177" s="4">
        <v>0</v>
      </c>
      <c r="H177" s="4">
        <f t="shared" si="44"/>
        <v>66733786.674591102</v>
      </c>
      <c r="I177" s="4">
        <f t="shared" si="45"/>
        <v>25666.841028688887</v>
      </c>
      <c r="J177" s="4">
        <v>2462.6</v>
      </c>
      <c r="K177" s="5">
        <f t="shared" si="46"/>
        <v>2462.6</v>
      </c>
      <c r="L177" s="4">
        <v>26750</v>
      </c>
      <c r="M177" s="4">
        <f t="shared" si="42"/>
        <v>69401173.95734185</v>
      </c>
      <c r="N177" s="4">
        <f t="shared" si="47"/>
        <v>2667387.2827507476</v>
      </c>
      <c r="O177" s="4">
        <f t="shared" si="48"/>
        <v>2667387.2827507476</v>
      </c>
      <c r="P177" s="4">
        <f t="shared" si="49"/>
        <v>0</v>
      </c>
      <c r="T177" s="4">
        <f t="shared" si="50"/>
        <v>25666.841028688887</v>
      </c>
      <c r="U177" s="4">
        <f t="shared" si="51"/>
        <v>2667387.2827507476</v>
      </c>
      <c r="V177" s="4">
        <f t="shared" si="52"/>
        <v>2667387.2827507476</v>
      </c>
      <c r="W177" s="4">
        <f t="shared" si="53"/>
        <v>0</v>
      </c>
      <c r="X177" s="5">
        <f t="shared" si="54"/>
        <v>69401173.95734185</v>
      </c>
      <c r="Y177" s="5">
        <f t="shared" si="55"/>
        <v>0</v>
      </c>
      <c r="Z177" s="5">
        <f t="shared" si="55"/>
        <v>0</v>
      </c>
      <c r="AB177" s="5">
        <f t="shared" si="43"/>
        <v>137.40000000000009</v>
      </c>
      <c r="AC177" s="4">
        <f t="shared" si="56"/>
        <v>3526623.9573418554</v>
      </c>
      <c r="AD177" s="4">
        <f t="shared" si="57"/>
        <v>3675450.0000000023</v>
      </c>
      <c r="AE177" s="5">
        <f t="shared" si="58"/>
        <v>-148826.04265814694</v>
      </c>
      <c r="AF177" s="3" t="str">
        <f t="shared" si="59"/>
        <v>N</v>
      </c>
      <c r="AH177" s="4">
        <f t="shared" si="60"/>
        <v>63207162.717249252</v>
      </c>
      <c r="AI177" s="4">
        <f t="shared" si="61"/>
        <v>65874550</v>
      </c>
    </row>
    <row r="178" spans="1:35">
      <c r="A178" s="3">
        <v>176</v>
      </c>
      <c r="B178" s="3" t="s">
        <v>843</v>
      </c>
      <c r="C178" s="3" t="s">
        <v>667</v>
      </c>
      <c r="D178" s="4">
        <v>600</v>
      </c>
      <c r="E178" s="4">
        <v>25918064.818989344</v>
      </c>
      <c r="F178" s="4">
        <v>0</v>
      </c>
      <c r="G178" s="4">
        <v>0</v>
      </c>
      <c r="H178" s="4">
        <f t="shared" si="44"/>
        <v>25918064.818989344</v>
      </c>
      <c r="I178" s="4">
        <f t="shared" si="45"/>
        <v>43196.774698315574</v>
      </c>
      <c r="J178" s="4">
        <v>519</v>
      </c>
      <c r="K178" s="5">
        <f t="shared" si="46"/>
        <v>519</v>
      </c>
      <c r="L178" s="4">
        <v>48000</v>
      </c>
      <c r="M178" s="4">
        <f t="shared" si="42"/>
        <v>28410938.750563562</v>
      </c>
      <c r="N178" s="4">
        <f t="shared" si="47"/>
        <v>2492873.931574217</v>
      </c>
      <c r="O178" s="4">
        <f t="shared" si="48"/>
        <v>2492873.931574217</v>
      </c>
      <c r="P178" s="4">
        <f t="shared" si="49"/>
        <v>0</v>
      </c>
      <c r="T178" s="4">
        <f t="shared" si="50"/>
        <v>43196.774698315574</v>
      </c>
      <c r="U178" s="4">
        <f t="shared" si="51"/>
        <v>2492873.931574217</v>
      </c>
      <c r="V178" s="4">
        <f t="shared" si="52"/>
        <v>2492873.931574217</v>
      </c>
      <c r="W178" s="4">
        <f t="shared" si="53"/>
        <v>0</v>
      </c>
      <c r="X178" s="5">
        <f t="shared" si="54"/>
        <v>28410938.750563562</v>
      </c>
      <c r="Y178" s="5">
        <f t="shared" si="55"/>
        <v>0</v>
      </c>
      <c r="Z178" s="5">
        <f t="shared" si="55"/>
        <v>0</v>
      </c>
      <c r="AB178" s="5">
        <f t="shared" si="43"/>
        <v>81</v>
      </c>
      <c r="AC178" s="4">
        <f t="shared" si="56"/>
        <v>3498938.7505635615</v>
      </c>
      <c r="AD178" s="4">
        <f t="shared" si="57"/>
        <v>3888000</v>
      </c>
      <c r="AE178" s="5">
        <f t="shared" si="58"/>
        <v>-389061.24943643855</v>
      </c>
      <c r="AF178" s="3" t="str">
        <f t="shared" si="59"/>
        <v>N</v>
      </c>
      <c r="AH178" s="4">
        <f t="shared" si="60"/>
        <v>22419126.068425782</v>
      </c>
      <c r="AI178" s="4">
        <f t="shared" si="61"/>
        <v>24912000</v>
      </c>
    </row>
    <row r="179" spans="1:35">
      <c r="A179" s="3">
        <v>177</v>
      </c>
      <c r="B179" s="3" t="s">
        <v>844</v>
      </c>
      <c r="C179" s="3" t="s">
        <v>667</v>
      </c>
      <c r="D179" s="4">
        <v>6980</v>
      </c>
      <c r="E179" s="4">
        <v>84874545.964117691</v>
      </c>
      <c r="F179" s="4">
        <v>0</v>
      </c>
      <c r="G179" s="4">
        <v>0</v>
      </c>
      <c r="H179" s="4">
        <f t="shared" si="44"/>
        <v>84874545.964117691</v>
      </c>
      <c r="I179" s="4">
        <f t="shared" si="45"/>
        <v>12159.677072223165</v>
      </c>
      <c r="J179" s="4">
        <v>6943.9</v>
      </c>
      <c r="K179" s="5">
        <f t="shared" si="46"/>
        <v>6943.9</v>
      </c>
      <c r="L179" s="4">
        <v>12000</v>
      </c>
      <c r="M179" s="4">
        <f t="shared" si="42"/>
        <v>83765764.342307255</v>
      </c>
      <c r="N179" s="4">
        <f t="shared" si="47"/>
        <v>-1108781.6218104351</v>
      </c>
      <c r="O179" s="4">
        <f t="shared" si="48"/>
        <v>0</v>
      </c>
      <c r="P179" s="4">
        <f t="shared" si="49"/>
        <v>-1108781.6218104351</v>
      </c>
      <c r="T179" s="4">
        <f t="shared" si="50"/>
        <v>12159.677072223165</v>
      </c>
      <c r="U179" s="4">
        <f t="shared" si="51"/>
        <v>-1108781.6218104351</v>
      </c>
      <c r="V179" s="4">
        <f t="shared" si="52"/>
        <v>0</v>
      </c>
      <c r="W179" s="4">
        <f t="shared" si="53"/>
        <v>-1108781.6218104351</v>
      </c>
      <c r="X179" s="5">
        <f t="shared" si="54"/>
        <v>83765764.342307255</v>
      </c>
      <c r="Y179" s="5">
        <f t="shared" si="55"/>
        <v>0</v>
      </c>
      <c r="Z179" s="5">
        <f t="shared" si="55"/>
        <v>0</v>
      </c>
      <c r="AB179" s="5">
        <f t="shared" si="43"/>
        <v>36.100000000000364</v>
      </c>
      <c r="AC179" s="4">
        <f t="shared" si="56"/>
        <v>438964.34230726067</v>
      </c>
      <c r="AD179" s="4">
        <f t="shared" si="57"/>
        <v>433200.00000000437</v>
      </c>
      <c r="AE179" s="5">
        <f t="shared" si="58"/>
        <v>5764.3423072563019</v>
      </c>
      <c r="AF179" s="3" t="str">
        <f t="shared" si="59"/>
        <v>Y</v>
      </c>
      <c r="AH179" s="4">
        <f t="shared" si="60"/>
        <v>84435581.621810436</v>
      </c>
      <c r="AI179" s="4">
        <f t="shared" si="61"/>
        <v>83326800</v>
      </c>
    </row>
    <row r="180" spans="1:35">
      <c r="A180" s="3">
        <v>178</v>
      </c>
      <c r="B180" s="3" t="s">
        <v>845</v>
      </c>
      <c r="C180" s="3" t="s">
        <v>667</v>
      </c>
      <c r="D180" s="4">
        <v>8200</v>
      </c>
      <c r="E180" s="4">
        <v>34013582.647003911</v>
      </c>
      <c r="F180" s="4">
        <v>0</v>
      </c>
      <c r="G180" s="4">
        <v>0</v>
      </c>
      <c r="H180" s="4">
        <f t="shared" si="44"/>
        <v>34013582.647003911</v>
      </c>
      <c r="I180" s="4">
        <f t="shared" si="45"/>
        <v>4147.9978837809649</v>
      </c>
      <c r="J180" s="4">
        <v>8060.6</v>
      </c>
      <c r="K180" s="5">
        <f t="shared" si="46"/>
        <v>8060.6</v>
      </c>
      <c r="L180" s="4">
        <v>2500</v>
      </c>
      <c r="M180" s="4">
        <f t="shared" si="42"/>
        <v>20729730.904999062</v>
      </c>
      <c r="N180" s="4">
        <f t="shared" si="47"/>
        <v>-13283851.742004847</v>
      </c>
      <c r="O180" s="4">
        <f t="shared" si="48"/>
        <v>0</v>
      </c>
      <c r="P180" s="4">
        <f t="shared" si="49"/>
        <v>-13283851.742004847</v>
      </c>
      <c r="T180" s="4">
        <f t="shared" si="50"/>
        <v>4147.9978837809649</v>
      </c>
      <c r="U180" s="4">
        <f t="shared" si="51"/>
        <v>-13283851.742004847</v>
      </c>
      <c r="V180" s="4">
        <f t="shared" si="52"/>
        <v>0</v>
      </c>
      <c r="W180" s="4">
        <f t="shared" si="53"/>
        <v>-13283851.742004847</v>
      </c>
      <c r="X180" s="5">
        <f t="shared" si="54"/>
        <v>20729730.904999062</v>
      </c>
      <c r="Y180" s="5">
        <f t="shared" si="55"/>
        <v>0</v>
      </c>
      <c r="Z180" s="5">
        <f t="shared" si="55"/>
        <v>0</v>
      </c>
      <c r="AB180" s="5">
        <f t="shared" si="43"/>
        <v>139.39999999999964</v>
      </c>
      <c r="AC180" s="4">
        <f t="shared" si="56"/>
        <v>578230.90499906498</v>
      </c>
      <c r="AD180" s="4">
        <f t="shared" si="57"/>
        <v>348499.99999999907</v>
      </c>
      <c r="AE180" s="5">
        <f t="shared" si="58"/>
        <v>229730.90499906591</v>
      </c>
      <c r="AF180" s="3" t="str">
        <f t="shared" si="59"/>
        <v>Y</v>
      </c>
      <c r="AH180" s="4">
        <f t="shared" si="60"/>
        <v>33435351.742004849</v>
      </c>
      <c r="AI180" s="4">
        <f t="shared" si="61"/>
        <v>20151500</v>
      </c>
    </row>
    <row r="181" spans="1:35">
      <c r="A181" s="3">
        <v>179</v>
      </c>
      <c r="B181" s="3" t="s">
        <v>846</v>
      </c>
      <c r="C181" s="3" t="s">
        <v>667</v>
      </c>
      <c r="D181" s="4">
        <v>49764</v>
      </c>
      <c r="E181" s="4">
        <v>282695908.40965831</v>
      </c>
      <c r="F181" s="4">
        <v>0</v>
      </c>
      <c r="G181" s="4">
        <v>0</v>
      </c>
      <c r="H181" s="4">
        <f t="shared" si="44"/>
        <v>282695908.40965831</v>
      </c>
      <c r="I181" s="4">
        <f t="shared" si="45"/>
        <v>5680.7312195494396</v>
      </c>
      <c r="J181" s="4">
        <v>49708.4</v>
      </c>
      <c r="K181" s="5">
        <f t="shared" si="46"/>
        <v>49708.4</v>
      </c>
      <c r="L181" s="4">
        <v>2990</v>
      </c>
      <c r="M181" s="4">
        <f t="shared" si="42"/>
        <v>148943964.65580696</v>
      </c>
      <c r="N181" s="4">
        <f t="shared" si="47"/>
        <v>-133751943.75385137</v>
      </c>
      <c r="O181" s="4">
        <f t="shared" si="48"/>
        <v>0</v>
      </c>
      <c r="P181" s="4">
        <f t="shared" si="49"/>
        <v>-133751943.75385137</v>
      </c>
      <c r="T181" s="4">
        <f t="shared" si="50"/>
        <v>5680.7312195494396</v>
      </c>
      <c r="U181" s="4">
        <f t="shared" si="51"/>
        <v>-133751943.75385137</v>
      </c>
      <c r="V181" s="4">
        <f t="shared" si="52"/>
        <v>0</v>
      </c>
      <c r="W181" s="4">
        <f t="shared" si="53"/>
        <v>-133751943.75385137</v>
      </c>
      <c r="X181" s="5">
        <f t="shared" si="54"/>
        <v>148943964.65580696</v>
      </c>
      <c r="Y181" s="5">
        <f t="shared" si="55"/>
        <v>0</v>
      </c>
      <c r="Z181" s="5">
        <f t="shared" si="55"/>
        <v>0</v>
      </c>
      <c r="AB181" s="5">
        <f t="shared" si="43"/>
        <v>55.599999999998545</v>
      </c>
      <c r="AC181" s="4">
        <f t="shared" si="56"/>
        <v>315848.65580694057</v>
      </c>
      <c r="AD181" s="4">
        <f t="shared" si="57"/>
        <v>166243.99999999563</v>
      </c>
      <c r="AE181" s="5">
        <f t="shared" si="58"/>
        <v>149604.65580694494</v>
      </c>
      <c r="AF181" s="3" t="str">
        <f t="shared" si="59"/>
        <v>Y</v>
      </c>
      <c r="AH181" s="4">
        <f t="shared" si="60"/>
        <v>282380059.75385135</v>
      </c>
      <c r="AI181" s="4">
        <f t="shared" si="61"/>
        <v>148628116</v>
      </c>
    </row>
    <row r="182" spans="1:35">
      <c r="A182" s="3">
        <v>180</v>
      </c>
      <c r="B182" s="3" t="s">
        <v>847</v>
      </c>
      <c r="C182" s="3" t="s">
        <v>667</v>
      </c>
      <c r="D182" s="4">
        <v>1400</v>
      </c>
      <c r="E182" s="4">
        <v>8863065.6529611293</v>
      </c>
      <c r="F182" s="4">
        <v>0</v>
      </c>
      <c r="G182" s="4">
        <v>0</v>
      </c>
      <c r="H182" s="4">
        <f t="shared" si="44"/>
        <v>8863065.6529611293</v>
      </c>
      <c r="I182" s="4">
        <f t="shared" si="45"/>
        <v>6330.7611806865207</v>
      </c>
      <c r="J182" s="4">
        <v>2043.1</v>
      </c>
      <c r="K182" s="5">
        <f t="shared" si="46"/>
        <v>1400</v>
      </c>
      <c r="L182" s="4">
        <v>6340</v>
      </c>
      <c r="M182" s="4">
        <f t="shared" si="42"/>
        <v>8876000</v>
      </c>
      <c r="N182" s="4">
        <f t="shared" si="47"/>
        <v>12934.347038871056</v>
      </c>
      <c r="O182" s="4">
        <f t="shared" si="48"/>
        <v>12934.347038871056</v>
      </c>
      <c r="P182" s="4">
        <f t="shared" si="49"/>
        <v>0</v>
      </c>
      <c r="T182" s="4">
        <f t="shared" si="50"/>
        <v>6330.7611806865207</v>
      </c>
      <c r="U182" s="4">
        <f t="shared" si="51"/>
        <v>12934.347038871056</v>
      </c>
      <c r="V182" s="4">
        <f t="shared" si="52"/>
        <v>12934.347038871056</v>
      </c>
      <c r="W182" s="4">
        <f t="shared" si="53"/>
        <v>0</v>
      </c>
      <c r="X182" s="5">
        <f t="shared" si="54"/>
        <v>8876000</v>
      </c>
      <c r="Y182" s="5">
        <f t="shared" si="55"/>
        <v>0</v>
      </c>
      <c r="Z182" s="5">
        <f t="shared" si="55"/>
        <v>0</v>
      </c>
      <c r="AB182" s="5">
        <f t="shared" si="43"/>
        <v>-643.09999999999991</v>
      </c>
      <c r="AC182" s="4">
        <f t="shared" si="56"/>
        <v>-4071312.5152995009</v>
      </c>
      <c r="AD182" s="4">
        <f t="shared" si="57"/>
        <v>-4077253.9999999995</v>
      </c>
      <c r="AE182" s="5">
        <f t="shared" si="58"/>
        <v>0</v>
      </c>
      <c r="AF182" s="3" t="str">
        <f t="shared" si="59"/>
        <v>N</v>
      </c>
      <c r="AH182" s="4">
        <f t="shared" si="60"/>
        <v>8863065.6529611293</v>
      </c>
      <c r="AI182" s="4">
        <f t="shared" si="61"/>
        <v>8876000</v>
      </c>
    </row>
    <row r="183" spans="1:35">
      <c r="A183" s="3">
        <v>181</v>
      </c>
      <c r="B183" s="3" t="s">
        <v>848</v>
      </c>
      <c r="C183" s="3" t="s">
        <v>667</v>
      </c>
      <c r="D183" s="4">
        <v>3800</v>
      </c>
      <c r="E183" s="4">
        <v>14959881.965006292</v>
      </c>
      <c r="F183" s="4">
        <v>0</v>
      </c>
      <c r="G183" s="4">
        <v>0</v>
      </c>
      <c r="H183" s="4">
        <f t="shared" si="44"/>
        <v>14959881.965006292</v>
      </c>
      <c r="I183" s="4">
        <f t="shared" si="45"/>
        <v>3936.8110434227083</v>
      </c>
      <c r="J183" s="4">
        <v>3749.1</v>
      </c>
      <c r="K183" s="5">
        <f t="shared" si="46"/>
        <v>3749.1</v>
      </c>
      <c r="L183" s="4">
        <v>4100</v>
      </c>
      <c r="M183" s="4">
        <f t="shared" si="42"/>
        <v>15571693.682110216</v>
      </c>
      <c r="N183" s="4">
        <f t="shared" si="47"/>
        <v>611811.71710392437</v>
      </c>
      <c r="O183" s="4">
        <f t="shared" si="48"/>
        <v>611811.71710392437</v>
      </c>
      <c r="P183" s="4">
        <f t="shared" si="49"/>
        <v>0</v>
      </c>
      <c r="T183" s="4">
        <f t="shared" si="50"/>
        <v>3936.8110434227083</v>
      </c>
      <c r="U183" s="4">
        <f t="shared" si="51"/>
        <v>611811.71710392437</v>
      </c>
      <c r="V183" s="4">
        <f t="shared" si="52"/>
        <v>611811.71710392437</v>
      </c>
      <c r="W183" s="4">
        <f t="shared" si="53"/>
        <v>0</v>
      </c>
      <c r="X183" s="5">
        <f t="shared" si="54"/>
        <v>15571693.682110216</v>
      </c>
      <c r="Y183" s="5">
        <f t="shared" si="55"/>
        <v>0</v>
      </c>
      <c r="Z183" s="5">
        <f t="shared" si="55"/>
        <v>0</v>
      </c>
      <c r="AB183" s="5">
        <f t="shared" si="43"/>
        <v>50.900000000000091</v>
      </c>
      <c r="AC183" s="4">
        <f t="shared" si="56"/>
        <v>200383.68211021621</v>
      </c>
      <c r="AD183" s="4">
        <f t="shared" si="57"/>
        <v>208690.00000000038</v>
      </c>
      <c r="AE183" s="5">
        <f t="shared" si="58"/>
        <v>-8306.3178897841717</v>
      </c>
      <c r="AF183" s="3" t="str">
        <f t="shared" si="59"/>
        <v>N</v>
      </c>
      <c r="AH183" s="4">
        <f t="shared" si="60"/>
        <v>14759498.282896075</v>
      </c>
      <c r="AI183" s="4">
        <f t="shared" si="61"/>
        <v>15371310</v>
      </c>
    </row>
    <row r="184" spans="1:35">
      <c r="A184" s="3">
        <v>182</v>
      </c>
      <c r="B184" s="3" t="s">
        <v>849</v>
      </c>
      <c r="C184" s="3" t="s">
        <v>667</v>
      </c>
      <c r="D184" s="4">
        <v>700</v>
      </c>
      <c r="E184" s="4">
        <v>24439224.307836976</v>
      </c>
      <c r="F184" s="4">
        <v>0</v>
      </c>
      <c r="G184" s="4">
        <v>0</v>
      </c>
      <c r="H184" s="4">
        <f t="shared" si="44"/>
        <v>24439224.307836976</v>
      </c>
      <c r="I184" s="4">
        <f t="shared" si="45"/>
        <v>34913.177582624252</v>
      </c>
      <c r="J184" s="4">
        <v>644.20000000000005</v>
      </c>
      <c r="K184" s="5">
        <f t="shared" si="46"/>
        <v>644.20000000000005</v>
      </c>
      <c r="L184" s="4">
        <v>30300</v>
      </c>
      <c r="M184" s="4">
        <f t="shared" si="42"/>
        <v>21467415.309110433</v>
      </c>
      <c r="N184" s="4">
        <f t="shared" si="47"/>
        <v>-2971808.9987265435</v>
      </c>
      <c r="O184" s="4">
        <f t="shared" si="48"/>
        <v>0</v>
      </c>
      <c r="P184" s="4">
        <f t="shared" si="49"/>
        <v>-2971808.9987265435</v>
      </c>
      <c r="T184" s="4">
        <f t="shared" si="50"/>
        <v>34913.177582624252</v>
      </c>
      <c r="U184" s="4">
        <f t="shared" si="51"/>
        <v>-2971808.9987265435</v>
      </c>
      <c r="V184" s="4">
        <f t="shared" si="52"/>
        <v>0</v>
      </c>
      <c r="W184" s="4">
        <f t="shared" si="53"/>
        <v>-2971808.9987265435</v>
      </c>
      <c r="X184" s="5">
        <f t="shared" si="54"/>
        <v>21467415.309110433</v>
      </c>
      <c r="Y184" s="5">
        <f t="shared" si="55"/>
        <v>0</v>
      </c>
      <c r="Z184" s="5">
        <f t="shared" si="55"/>
        <v>0</v>
      </c>
      <c r="AB184" s="5">
        <f t="shared" si="43"/>
        <v>55.799999999999955</v>
      </c>
      <c r="AC184" s="4">
        <f t="shared" si="56"/>
        <v>1948155.3091104317</v>
      </c>
      <c r="AD184" s="4">
        <f t="shared" si="57"/>
        <v>1690739.9999999986</v>
      </c>
      <c r="AE184" s="5">
        <f t="shared" si="58"/>
        <v>257415.3091104331</v>
      </c>
      <c r="AF184" s="3" t="str">
        <f t="shared" si="59"/>
        <v>Y</v>
      </c>
      <c r="AH184" s="4">
        <f t="shared" si="60"/>
        <v>22491068.998726543</v>
      </c>
      <c r="AI184" s="4">
        <f t="shared" si="61"/>
        <v>19519260</v>
      </c>
    </row>
    <row r="185" spans="1:35">
      <c r="A185" s="3">
        <v>183</v>
      </c>
      <c r="B185" s="3" t="s">
        <v>850</v>
      </c>
      <c r="C185" s="3" t="s">
        <v>667</v>
      </c>
      <c r="D185" s="4">
        <v>200</v>
      </c>
      <c r="E185" s="4">
        <v>8299948.4865211602</v>
      </c>
      <c r="F185" s="4">
        <v>0</v>
      </c>
      <c r="G185" s="4">
        <v>0</v>
      </c>
      <c r="H185" s="4">
        <f t="shared" si="44"/>
        <v>8299948.4865211602</v>
      </c>
      <c r="I185" s="4">
        <f t="shared" si="45"/>
        <v>41499.742432605803</v>
      </c>
      <c r="J185" s="4">
        <v>192</v>
      </c>
      <c r="K185" s="5">
        <f t="shared" si="46"/>
        <v>192</v>
      </c>
      <c r="L185" s="4">
        <v>51500</v>
      </c>
      <c r="M185" s="4">
        <f t="shared" si="42"/>
        <v>10219997.939460846</v>
      </c>
      <c r="N185" s="4">
        <f t="shared" si="47"/>
        <v>1920049.4529396859</v>
      </c>
      <c r="O185" s="4">
        <f t="shared" si="48"/>
        <v>1920049.4529396859</v>
      </c>
      <c r="P185" s="4">
        <f t="shared" si="49"/>
        <v>0</v>
      </c>
      <c r="T185" s="4">
        <f t="shared" si="50"/>
        <v>41499.742432605803</v>
      </c>
      <c r="U185" s="4">
        <f t="shared" si="51"/>
        <v>1920049.4529396859</v>
      </c>
      <c r="V185" s="4">
        <f t="shared" si="52"/>
        <v>1920049.4529396859</v>
      </c>
      <c r="W185" s="4">
        <f t="shared" si="53"/>
        <v>0</v>
      </c>
      <c r="X185" s="5">
        <f t="shared" si="54"/>
        <v>10219997.939460846</v>
      </c>
      <c r="Y185" s="5">
        <f t="shared" si="55"/>
        <v>0</v>
      </c>
      <c r="Z185" s="5">
        <f t="shared" si="55"/>
        <v>0</v>
      </c>
      <c r="AB185" s="5">
        <f t="shared" si="43"/>
        <v>8</v>
      </c>
      <c r="AC185" s="4">
        <f t="shared" si="56"/>
        <v>331997.93946084642</v>
      </c>
      <c r="AD185" s="4">
        <f t="shared" si="57"/>
        <v>412000</v>
      </c>
      <c r="AE185" s="5">
        <f t="shared" si="58"/>
        <v>-80002.060539153579</v>
      </c>
      <c r="AF185" s="3" t="str">
        <f t="shared" si="59"/>
        <v>N</v>
      </c>
      <c r="AH185" s="4">
        <f t="shared" si="60"/>
        <v>7967950.5470603146</v>
      </c>
      <c r="AI185" s="4">
        <f t="shared" si="61"/>
        <v>9888000</v>
      </c>
    </row>
    <row r="186" spans="1:35">
      <c r="A186" s="3">
        <v>184</v>
      </c>
      <c r="B186" s="3" t="s">
        <v>851</v>
      </c>
      <c r="C186" s="3" t="s">
        <v>667</v>
      </c>
      <c r="D186" s="4">
        <v>1000</v>
      </c>
      <c r="E186" s="4">
        <v>11849985.288494518</v>
      </c>
      <c r="F186" s="4">
        <v>0</v>
      </c>
      <c r="G186" s="4">
        <v>0</v>
      </c>
      <c r="H186" s="4">
        <f t="shared" si="44"/>
        <v>11849985.288494518</v>
      </c>
      <c r="I186" s="4">
        <f t="shared" si="45"/>
        <v>11849.985288494518</v>
      </c>
      <c r="J186" s="4">
        <v>990</v>
      </c>
      <c r="K186" s="5">
        <f t="shared" si="46"/>
        <v>990</v>
      </c>
      <c r="L186" s="4">
        <v>14650</v>
      </c>
      <c r="M186" s="4">
        <f t="shared" si="42"/>
        <v>14621999.852884945</v>
      </c>
      <c r="N186" s="4">
        <f t="shared" si="47"/>
        <v>2772014.5643904274</v>
      </c>
      <c r="O186" s="4">
        <f t="shared" si="48"/>
        <v>2772014.5643904274</v>
      </c>
      <c r="P186" s="4">
        <f t="shared" si="49"/>
        <v>0</v>
      </c>
      <c r="T186" s="4">
        <f t="shared" si="50"/>
        <v>11849.985288494518</v>
      </c>
      <c r="U186" s="4">
        <f t="shared" si="51"/>
        <v>2772014.5643904274</v>
      </c>
      <c r="V186" s="4">
        <f t="shared" si="52"/>
        <v>2772014.5643904274</v>
      </c>
      <c r="W186" s="4">
        <f t="shared" si="53"/>
        <v>0</v>
      </c>
      <c r="X186" s="5">
        <f t="shared" si="54"/>
        <v>14621999.852884945</v>
      </c>
      <c r="Y186" s="5">
        <f t="shared" si="55"/>
        <v>0</v>
      </c>
      <c r="Z186" s="5">
        <f t="shared" si="55"/>
        <v>0</v>
      </c>
      <c r="AB186" s="5">
        <f t="shared" si="43"/>
        <v>10</v>
      </c>
      <c r="AC186" s="4">
        <f t="shared" si="56"/>
        <v>118499.85288494517</v>
      </c>
      <c r="AD186" s="4">
        <f t="shared" si="57"/>
        <v>146500</v>
      </c>
      <c r="AE186" s="5">
        <f t="shared" si="58"/>
        <v>-28000.147115054831</v>
      </c>
      <c r="AF186" s="3" t="str">
        <f t="shared" si="59"/>
        <v>N</v>
      </c>
      <c r="AH186" s="4">
        <f t="shared" si="60"/>
        <v>11731485.435609572</v>
      </c>
      <c r="AI186" s="4">
        <f t="shared" si="61"/>
        <v>14503500</v>
      </c>
    </row>
    <row r="187" spans="1:35">
      <c r="A187" s="3">
        <v>185</v>
      </c>
      <c r="B187" s="3" t="s">
        <v>852</v>
      </c>
      <c r="C187" s="3" t="s">
        <v>667</v>
      </c>
      <c r="D187" s="4">
        <v>24713</v>
      </c>
      <c r="E187" s="4">
        <v>282768320.14204657</v>
      </c>
      <c r="F187" s="4">
        <f>-2178000-27792000</f>
        <v>-29970000</v>
      </c>
      <c r="G187" s="4">
        <v>0</v>
      </c>
      <c r="H187" s="4">
        <f t="shared" si="44"/>
        <v>252798320.14204657</v>
      </c>
      <c r="I187" s="4">
        <f t="shared" si="45"/>
        <v>11442.087975642236</v>
      </c>
      <c r="J187" s="4">
        <v>22309.599999999999</v>
      </c>
      <c r="K187" s="5">
        <f t="shared" si="46"/>
        <v>22309.599999999999</v>
      </c>
      <c r="L187" s="4">
        <v>15750</v>
      </c>
      <c r="M187" s="4">
        <f t="shared" si="42"/>
        <v>378876114.24065852</v>
      </c>
      <c r="N187" s="4">
        <f t="shared" si="47"/>
        <v>96107794.098611951</v>
      </c>
      <c r="O187" s="4">
        <f t="shared" si="48"/>
        <v>96107794.098611951</v>
      </c>
      <c r="P187" s="4">
        <f t="shared" si="49"/>
        <v>0</v>
      </c>
      <c r="Q187" s="4">
        <f>(L187-I187)*K187</f>
        <v>96107794.098611951</v>
      </c>
      <c r="T187" s="4">
        <f t="shared" si="50"/>
        <v>10229.365926518292</v>
      </c>
      <c r="U187" s="4">
        <f t="shared" si="51"/>
        <v>123163137.9257475</v>
      </c>
      <c r="V187" s="4">
        <f t="shared" si="52"/>
        <v>123163137.9257475</v>
      </c>
      <c r="W187" s="4">
        <f t="shared" si="53"/>
        <v>0</v>
      </c>
      <c r="X187" s="5">
        <f t="shared" si="54"/>
        <v>375961458.06779408</v>
      </c>
      <c r="Y187" s="5">
        <f t="shared" si="55"/>
        <v>-27055343.827135548</v>
      </c>
      <c r="Z187" s="5">
        <f t="shared" si="55"/>
        <v>0</v>
      </c>
      <c r="AB187" s="5">
        <f t="shared" si="43"/>
        <v>2403.4000000000015</v>
      </c>
      <c r="AC187" s="4">
        <f t="shared" si="56"/>
        <v>24585258.067794077</v>
      </c>
      <c r="AD187" s="4">
        <f t="shared" si="57"/>
        <v>37853550.000000022</v>
      </c>
      <c r="AE187" s="5">
        <f t="shared" si="58"/>
        <v>-13268291.932205945</v>
      </c>
      <c r="AF187" s="3" t="str">
        <f t="shared" si="59"/>
        <v>N</v>
      </c>
      <c r="AH187" s="4">
        <f t="shared" si="60"/>
        <v>228213062.07425249</v>
      </c>
      <c r="AI187" s="4">
        <f t="shared" si="61"/>
        <v>351376200</v>
      </c>
    </row>
    <row r="188" spans="1:35">
      <c r="A188" s="3">
        <v>186</v>
      </c>
      <c r="B188" s="3" t="s">
        <v>853</v>
      </c>
      <c r="C188" s="3" t="s">
        <v>667</v>
      </c>
      <c r="D188" s="4">
        <v>3371</v>
      </c>
      <c r="E188" s="4">
        <v>30008773.20635299</v>
      </c>
      <c r="F188" s="4">
        <v>0</v>
      </c>
      <c r="G188" s="4">
        <v>0</v>
      </c>
      <c r="H188" s="4">
        <f t="shared" si="44"/>
        <v>30008773.20635299</v>
      </c>
      <c r="I188" s="4">
        <f t="shared" si="45"/>
        <v>8902.0389220863217</v>
      </c>
      <c r="J188" s="4">
        <v>3255.9</v>
      </c>
      <c r="K188" s="5">
        <f t="shared" si="46"/>
        <v>3255.9</v>
      </c>
      <c r="L188" s="4">
        <v>11050</v>
      </c>
      <c r="M188" s="4">
        <f t="shared" si="42"/>
        <v>37002319.679932132</v>
      </c>
      <c r="N188" s="4">
        <f t="shared" si="47"/>
        <v>6993546.473579145</v>
      </c>
      <c r="O188" s="4">
        <f t="shared" si="48"/>
        <v>6993546.473579145</v>
      </c>
      <c r="P188" s="4">
        <f t="shared" si="49"/>
        <v>0</v>
      </c>
      <c r="T188" s="4">
        <f t="shared" si="50"/>
        <v>8902.0389220863217</v>
      </c>
      <c r="U188" s="4">
        <f t="shared" si="51"/>
        <v>6993546.473579145</v>
      </c>
      <c r="V188" s="4">
        <f t="shared" si="52"/>
        <v>6993546.473579145</v>
      </c>
      <c r="W188" s="4">
        <f t="shared" si="53"/>
        <v>0</v>
      </c>
      <c r="X188" s="5">
        <f t="shared" si="54"/>
        <v>37002319.679932132</v>
      </c>
      <c r="Y188" s="5">
        <f t="shared" si="55"/>
        <v>0</v>
      </c>
      <c r="Z188" s="5">
        <f t="shared" si="55"/>
        <v>0</v>
      </c>
      <c r="AB188" s="5">
        <f t="shared" si="43"/>
        <v>115.09999999999991</v>
      </c>
      <c r="AC188" s="4">
        <f t="shared" si="56"/>
        <v>1024624.6799321348</v>
      </c>
      <c r="AD188" s="4">
        <f t="shared" si="57"/>
        <v>1271854.9999999991</v>
      </c>
      <c r="AE188" s="5">
        <f t="shared" si="58"/>
        <v>-247230.32006786426</v>
      </c>
      <c r="AF188" s="3" t="str">
        <f t="shared" si="59"/>
        <v>N</v>
      </c>
      <c r="AH188" s="4">
        <f t="shared" si="60"/>
        <v>28984148.526420854</v>
      </c>
      <c r="AI188" s="4">
        <f t="shared" si="61"/>
        <v>35977695</v>
      </c>
    </row>
    <row r="189" spans="1:35">
      <c r="A189" s="3">
        <v>187</v>
      </c>
      <c r="B189" s="3" t="s">
        <v>266</v>
      </c>
      <c r="C189" s="3" t="s">
        <v>667</v>
      </c>
      <c r="D189" s="4">
        <v>165771</v>
      </c>
      <c r="E189" s="4">
        <v>2435315562.1596713</v>
      </c>
      <c r="F189" s="4">
        <v>0</v>
      </c>
      <c r="G189" s="4">
        <v>0</v>
      </c>
      <c r="H189" s="4">
        <f t="shared" si="44"/>
        <v>2435315562.1596713</v>
      </c>
      <c r="I189" s="4">
        <f t="shared" si="45"/>
        <v>14690.841957638377</v>
      </c>
      <c r="J189" s="4">
        <v>165465.79999999999</v>
      </c>
      <c r="K189" s="5">
        <f t="shared" si="46"/>
        <v>165465.79999999999</v>
      </c>
      <c r="L189" s="4">
        <v>18650</v>
      </c>
      <c r="M189" s="4">
        <f t="shared" si="42"/>
        <v>3090420814.9654713</v>
      </c>
      <c r="N189" s="4">
        <f t="shared" si="47"/>
        <v>655105252.80579984</v>
      </c>
      <c r="O189" s="4">
        <f t="shared" si="48"/>
        <v>655105252.80579984</v>
      </c>
      <c r="P189" s="4">
        <f t="shared" si="49"/>
        <v>0</v>
      </c>
      <c r="T189" s="4">
        <f t="shared" si="50"/>
        <v>14690.841957638377</v>
      </c>
      <c r="U189" s="4">
        <f t="shared" si="51"/>
        <v>655105252.80579984</v>
      </c>
      <c r="V189" s="4">
        <f t="shared" si="52"/>
        <v>655105252.80579984</v>
      </c>
      <c r="W189" s="4">
        <f t="shared" si="53"/>
        <v>0</v>
      </c>
      <c r="X189" s="5">
        <f t="shared" si="54"/>
        <v>3090420814.9654713</v>
      </c>
      <c r="Y189" s="5">
        <f t="shared" si="55"/>
        <v>0</v>
      </c>
      <c r="Z189" s="5">
        <f t="shared" si="55"/>
        <v>0</v>
      </c>
      <c r="AB189" s="5">
        <f t="shared" si="43"/>
        <v>305.20000000001164</v>
      </c>
      <c r="AC189" s="4">
        <f t="shared" si="56"/>
        <v>4483644.9654714037</v>
      </c>
      <c r="AD189" s="4">
        <f t="shared" si="57"/>
        <v>5691980.000000217</v>
      </c>
      <c r="AE189" s="5">
        <f t="shared" si="58"/>
        <v>-1208335.0345288133</v>
      </c>
      <c r="AF189" s="3" t="str">
        <f t="shared" si="59"/>
        <v>N</v>
      </c>
      <c r="AH189" s="4">
        <f t="shared" si="60"/>
        <v>2430831917.1942</v>
      </c>
      <c r="AI189" s="4">
        <f t="shared" si="61"/>
        <v>3085937170</v>
      </c>
    </row>
    <row r="190" spans="1:35">
      <c r="A190" s="3">
        <v>188</v>
      </c>
      <c r="B190" s="3" t="s">
        <v>854</v>
      </c>
      <c r="C190" s="3" t="s">
        <v>667</v>
      </c>
      <c r="D190" s="4">
        <v>9600</v>
      </c>
      <c r="E190" s="4">
        <v>28837095.194047738</v>
      </c>
      <c r="F190" s="4">
        <v>0</v>
      </c>
      <c r="G190" s="4">
        <v>0</v>
      </c>
      <c r="H190" s="4">
        <f t="shared" si="44"/>
        <v>28837095.194047738</v>
      </c>
      <c r="I190" s="4">
        <f t="shared" si="45"/>
        <v>3003.8640827133058</v>
      </c>
      <c r="J190" s="4">
        <v>9569.5</v>
      </c>
      <c r="K190" s="5">
        <f t="shared" si="46"/>
        <v>9569.5</v>
      </c>
      <c r="L190" s="4">
        <v>2100</v>
      </c>
      <c r="M190" s="4">
        <f t="shared" si="42"/>
        <v>20187567.854522757</v>
      </c>
      <c r="N190" s="4">
        <f t="shared" si="47"/>
        <v>-8649527.3395249806</v>
      </c>
      <c r="O190" s="4">
        <f t="shared" si="48"/>
        <v>0</v>
      </c>
      <c r="P190" s="4">
        <f t="shared" si="49"/>
        <v>-8649527.3395249806</v>
      </c>
      <c r="T190" s="4">
        <f t="shared" si="50"/>
        <v>3003.8640827133058</v>
      </c>
      <c r="U190" s="4">
        <f t="shared" si="51"/>
        <v>-8649527.3395249806</v>
      </c>
      <c r="V190" s="4">
        <f t="shared" si="52"/>
        <v>0</v>
      </c>
      <c r="W190" s="4">
        <f t="shared" si="53"/>
        <v>-8649527.3395249806</v>
      </c>
      <c r="X190" s="5">
        <f t="shared" si="54"/>
        <v>20187567.854522757</v>
      </c>
      <c r="Y190" s="5">
        <f t="shared" si="55"/>
        <v>0</v>
      </c>
      <c r="Z190" s="5">
        <f t="shared" si="55"/>
        <v>0</v>
      </c>
      <c r="AB190" s="5">
        <f t="shared" si="43"/>
        <v>30.5</v>
      </c>
      <c r="AC190" s="4">
        <f t="shared" si="56"/>
        <v>91617.854522755835</v>
      </c>
      <c r="AD190" s="4">
        <f t="shared" si="57"/>
        <v>64050</v>
      </c>
      <c r="AE190" s="5">
        <f t="shared" si="58"/>
        <v>27567.854522755835</v>
      </c>
      <c r="AF190" s="3" t="str">
        <f t="shared" si="59"/>
        <v>Y</v>
      </c>
      <c r="AH190" s="4">
        <f t="shared" si="60"/>
        <v>28745477.339524981</v>
      </c>
      <c r="AI190" s="4">
        <f t="shared" si="61"/>
        <v>20095950</v>
      </c>
    </row>
    <row r="191" spans="1:35">
      <c r="A191" s="3">
        <v>189</v>
      </c>
      <c r="B191" s="3" t="s">
        <v>855</v>
      </c>
      <c r="C191" s="3" t="s">
        <v>667</v>
      </c>
      <c r="D191" s="4">
        <v>700</v>
      </c>
      <c r="E191" s="4">
        <v>16495784.468436711</v>
      </c>
      <c r="F191" s="4">
        <v>0</v>
      </c>
      <c r="G191" s="4">
        <v>0</v>
      </c>
      <c r="H191" s="4">
        <f t="shared" si="44"/>
        <v>16495784.468436711</v>
      </c>
      <c r="I191" s="4">
        <f t="shared" si="45"/>
        <v>23565.406383481015</v>
      </c>
      <c r="J191" s="4">
        <v>600</v>
      </c>
      <c r="K191" s="5">
        <f t="shared" si="46"/>
        <v>600</v>
      </c>
      <c r="L191" s="4">
        <v>37450</v>
      </c>
      <c r="M191" s="4">
        <f t="shared" si="42"/>
        <v>24826540.638348103</v>
      </c>
      <c r="N191" s="4">
        <f t="shared" si="47"/>
        <v>8330756.1699113911</v>
      </c>
      <c r="O191" s="4">
        <f t="shared" si="48"/>
        <v>8330756.1699113911</v>
      </c>
      <c r="P191" s="4">
        <f t="shared" si="49"/>
        <v>0</v>
      </c>
      <c r="T191" s="4">
        <f t="shared" si="50"/>
        <v>23565.406383481015</v>
      </c>
      <c r="U191" s="4">
        <f t="shared" si="51"/>
        <v>8330756.1699113911</v>
      </c>
      <c r="V191" s="4">
        <f t="shared" si="52"/>
        <v>8330756.1699113911</v>
      </c>
      <c r="W191" s="4">
        <f t="shared" si="53"/>
        <v>0</v>
      </c>
      <c r="X191" s="5">
        <f t="shared" si="54"/>
        <v>24826540.638348103</v>
      </c>
      <c r="Y191" s="5">
        <f t="shared" si="55"/>
        <v>0</v>
      </c>
      <c r="Z191" s="5">
        <f t="shared" si="55"/>
        <v>0</v>
      </c>
      <c r="AB191" s="5">
        <f t="shared" si="43"/>
        <v>100</v>
      </c>
      <c r="AC191" s="4">
        <f t="shared" si="56"/>
        <v>2356540.6383481016</v>
      </c>
      <c r="AD191" s="4">
        <f t="shared" si="57"/>
        <v>3745000</v>
      </c>
      <c r="AE191" s="5">
        <f t="shared" si="58"/>
        <v>-1388459.3616518984</v>
      </c>
      <c r="AF191" s="3" t="str">
        <f t="shared" si="59"/>
        <v>N</v>
      </c>
      <c r="AH191" s="4">
        <f t="shared" si="60"/>
        <v>14139243.83008861</v>
      </c>
      <c r="AI191" s="4">
        <f t="shared" si="61"/>
        <v>22470000</v>
      </c>
    </row>
    <row r="192" spans="1:35">
      <c r="A192" s="3">
        <v>190</v>
      </c>
      <c r="B192" s="3" t="s">
        <v>856</v>
      </c>
      <c r="C192" s="3" t="s">
        <v>667</v>
      </c>
      <c r="D192" s="4">
        <v>400</v>
      </c>
      <c r="E192" s="4">
        <v>5907831.4569533821</v>
      </c>
      <c r="F192" s="4">
        <v>0</v>
      </c>
      <c r="G192" s="4">
        <v>0</v>
      </c>
      <c r="H192" s="4">
        <f t="shared" si="44"/>
        <v>5907831.4569533821</v>
      </c>
      <c r="I192" s="4">
        <f t="shared" si="45"/>
        <v>14769.578642383456</v>
      </c>
      <c r="J192" s="4">
        <v>300</v>
      </c>
      <c r="K192" s="5">
        <f t="shared" si="46"/>
        <v>300</v>
      </c>
      <c r="L192" s="4">
        <v>14050</v>
      </c>
      <c r="M192" s="4">
        <f t="shared" si="42"/>
        <v>5691957.8642383451</v>
      </c>
      <c r="N192" s="4">
        <f t="shared" si="47"/>
        <v>-215873.59271503682</v>
      </c>
      <c r="O192" s="4">
        <f t="shared" si="48"/>
        <v>0</v>
      </c>
      <c r="P192" s="4">
        <f t="shared" si="49"/>
        <v>-215873.59271503682</v>
      </c>
      <c r="T192" s="4">
        <f t="shared" si="50"/>
        <v>14769.578642383456</v>
      </c>
      <c r="U192" s="4">
        <f t="shared" si="51"/>
        <v>-215873.59271503682</v>
      </c>
      <c r="V192" s="4">
        <f t="shared" si="52"/>
        <v>0</v>
      </c>
      <c r="W192" s="4">
        <f t="shared" si="53"/>
        <v>-215873.59271503682</v>
      </c>
      <c r="X192" s="5">
        <f t="shared" si="54"/>
        <v>5691957.8642383451</v>
      </c>
      <c r="Y192" s="5">
        <f t="shared" si="55"/>
        <v>0</v>
      </c>
      <c r="Z192" s="5">
        <f t="shared" si="55"/>
        <v>0</v>
      </c>
      <c r="AB192" s="5">
        <f t="shared" si="43"/>
        <v>100</v>
      </c>
      <c r="AC192" s="4">
        <f t="shared" si="56"/>
        <v>1476957.8642383455</v>
      </c>
      <c r="AD192" s="4">
        <f t="shared" si="57"/>
        <v>1405000</v>
      </c>
      <c r="AE192" s="5">
        <f t="shared" si="58"/>
        <v>71957.86423834553</v>
      </c>
      <c r="AF192" s="3" t="str">
        <f t="shared" si="59"/>
        <v>Y</v>
      </c>
      <c r="AH192" s="4">
        <f t="shared" si="60"/>
        <v>4430873.5927150371</v>
      </c>
      <c r="AI192" s="4">
        <f t="shared" si="61"/>
        <v>4215000</v>
      </c>
    </row>
    <row r="193" spans="1:35">
      <c r="A193" s="3">
        <v>191</v>
      </c>
      <c r="B193" s="3" t="s">
        <v>857</v>
      </c>
      <c r="C193" s="3" t="s">
        <v>667</v>
      </c>
      <c r="D193" s="4">
        <v>1900</v>
      </c>
      <c r="E193" s="4">
        <v>9947432.2672615312</v>
      </c>
      <c r="F193" s="4">
        <v>0</v>
      </c>
      <c r="G193" s="4">
        <v>0</v>
      </c>
      <c r="H193" s="4">
        <f t="shared" si="44"/>
        <v>9947432.2672615312</v>
      </c>
      <c r="I193" s="4">
        <f t="shared" si="45"/>
        <v>5235.4906669797529</v>
      </c>
      <c r="J193" s="4">
        <v>2044.6</v>
      </c>
      <c r="K193" s="5">
        <f t="shared" si="46"/>
        <v>1900</v>
      </c>
      <c r="L193" s="4">
        <v>9400</v>
      </c>
      <c r="M193" s="4">
        <f t="shared" si="42"/>
        <v>17860000</v>
      </c>
      <c r="N193" s="4">
        <f t="shared" si="47"/>
        <v>7912567.7327384697</v>
      </c>
      <c r="O193" s="4">
        <f t="shared" si="48"/>
        <v>7912567.7327384697</v>
      </c>
      <c r="P193" s="4">
        <f t="shared" si="49"/>
        <v>0</v>
      </c>
      <c r="T193" s="4">
        <f t="shared" si="50"/>
        <v>5235.4906669797529</v>
      </c>
      <c r="U193" s="4">
        <f t="shared" si="51"/>
        <v>7912567.7327384697</v>
      </c>
      <c r="V193" s="4">
        <f t="shared" si="52"/>
        <v>7912567.7327384697</v>
      </c>
      <c r="W193" s="4">
        <f t="shared" si="53"/>
        <v>0</v>
      </c>
      <c r="X193" s="5">
        <f t="shared" si="54"/>
        <v>17860000</v>
      </c>
      <c r="Y193" s="5">
        <f t="shared" si="55"/>
        <v>0</v>
      </c>
      <c r="Z193" s="5">
        <f t="shared" si="55"/>
        <v>0</v>
      </c>
      <c r="AB193" s="5">
        <f t="shared" si="43"/>
        <v>-144.59999999999991</v>
      </c>
      <c r="AC193" s="4">
        <f t="shared" si="56"/>
        <v>-757051.9504452718</v>
      </c>
      <c r="AD193" s="4">
        <f t="shared" si="57"/>
        <v>-1359239.9999999991</v>
      </c>
      <c r="AE193" s="5">
        <f t="shared" si="58"/>
        <v>0</v>
      </c>
      <c r="AF193" s="3" t="str">
        <f t="shared" si="59"/>
        <v>N</v>
      </c>
      <c r="AH193" s="4">
        <f t="shared" si="60"/>
        <v>9947432.2672615312</v>
      </c>
      <c r="AI193" s="4">
        <f t="shared" si="61"/>
        <v>17860000</v>
      </c>
    </row>
    <row r="194" spans="1:35">
      <c r="A194" s="3">
        <v>192</v>
      </c>
      <c r="B194" s="3" t="s">
        <v>858</v>
      </c>
      <c r="C194" s="3" t="s">
        <v>667</v>
      </c>
      <c r="D194" s="4">
        <v>3646</v>
      </c>
      <c r="E194" s="4">
        <v>55556560.930449598</v>
      </c>
      <c r="F194" s="4">
        <v>0</v>
      </c>
      <c r="G194" s="4">
        <v>0</v>
      </c>
      <c r="H194" s="4">
        <f t="shared" si="44"/>
        <v>55556560.930449598</v>
      </c>
      <c r="I194" s="4">
        <f t="shared" si="45"/>
        <v>15237.674418664179</v>
      </c>
      <c r="J194" s="4">
        <v>3511.1</v>
      </c>
      <c r="K194" s="5">
        <f t="shared" si="46"/>
        <v>3511.1</v>
      </c>
      <c r="L194" s="4">
        <v>18900</v>
      </c>
      <c r="M194" s="4">
        <f t="shared" si="42"/>
        <v>68415352.279077798</v>
      </c>
      <c r="N194" s="4">
        <f t="shared" si="47"/>
        <v>12858791.348628201</v>
      </c>
      <c r="O194" s="4">
        <f t="shared" si="48"/>
        <v>12858791.348628201</v>
      </c>
      <c r="P194" s="4">
        <f t="shared" si="49"/>
        <v>0</v>
      </c>
      <c r="T194" s="4">
        <f t="shared" si="50"/>
        <v>15237.674418664179</v>
      </c>
      <c r="U194" s="4">
        <f t="shared" si="51"/>
        <v>12858791.348628201</v>
      </c>
      <c r="V194" s="4">
        <f t="shared" si="52"/>
        <v>12858791.348628201</v>
      </c>
      <c r="W194" s="4">
        <f t="shared" si="53"/>
        <v>0</v>
      </c>
      <c r="X194" s="5">
        <f t="shared" si="54"/>
        <v>68415352.279077798</v>
      </c>
      <c r="Y194" s="5">
        <f t="shared" si="55"/>
        <v>0</v>
      </c>
      <c r="Z194" s="5">
        <f t="shared" si="55"/>
        <v>0</v>
      </c>
      <c r="AB194" s="5">
        <f t="shared" si="43"/>
        <v>134.90000000000009</v>
      </c>
      <c r="AC194" s="4">
        <f t="shared" si="56"/>
        <v>2055562.2790777991</v>
      </c>
      <c r="AD194" s="4">
        <f t="shared" si="57"/>
        <v>2549610.0000000019</v>
      </c>
      <c r="AE194" s="5">
        <f t="shared" si="58"/>
        <v>-494047.7209222028</v>
      </c>
      <c r="AF194" s="3" t="str">
        <f t="shared" si="59"/>
        <v>N</v>
      </c>
      <c r="AH194" s="4">
        <f t="shared" si="60"/>
        <v>53500998.651371799</v>
      </c>
      <c r="AI194" s="4">
        <f t="shared" si="61"/>
        <v>66359790</v>
      </c>
    </row>
    <row r="195" spans="1:35">
      <c r="A195" s="3">
        <v>193</v>
      </c>
      <c r="B195" s="3" t="s">
        <v>859</v>
      </c>
      <c r="C195" s="3" t="s">
        <v>667</v>
      </c>
      <c r="D195" s="4">
        <v>54600</v>
      </c>
      <c r="E195" s="4">
        <v>772688700.32886267</v>
      </c>
      <c r="F195" s="4">
        <v>0</v>
      </c>
      <c r="G195" s="4">
        <v>0</v>
      </c>
      <c r="H195" s="4">
        <f t="shared" si="44"/>
        <v>772688700.32886267</v>
      </c>
      <c r="I195" s="4">
        <f t="shared" si="45"/>
        <v>14151.807698330818</v>
      </c>
      <c r="J195" s="4">
        <v>54525.599999999999</v>
      </c>
      <c r="K195" s="5">
        <f t="shared" si="46"/>
        <v>54525.599999999999</v>
      </c>
      <c r="L195" s="4">
        <v>13000</v>
      </c>
      <c r="M195" s="4">
        <f t="shared" ref="M195:M258" si="62">(L195-I195)*K195+E195</f>
        <v>709885694.49275577</v>
      </c>
      <c r="N195" s="4">
        <f t="shared" si="47"/>
        <v>-62803005.836106867</v>
      </c>
      <c r="O195" s="4">
        <f t="shared" si="48"/>
        <v>0</v>
      </c>
      <c r="P195" s="4">
        <f t="shared" si="49"/>
        <v>-62803005.836106867</v>
      </c>
      <c r="T195" s="4">
        <f t="shared" si="50"/>
        <v>14151.807698330818</v>
      </c>
      <c r="U195" s="4">
        <f t="shared" si="51"/>
        <v>-62803005.836106867</v>
      </c>
      <c r="V195" s="4">
        <f t="shared" si="52"/>
        <v>0</v>
      </c>
      <c r="W195" s="4">
        <f t="shared" si="53"/>
        <v>-62803005.836106867</v>
      </c>
      <c r="X195" s="5">
        <f t="shared" si="54"/>
        <v>709885694.49275577</v>
      </c>
      <c r="Y195" s="5">
        <f t="shared" si="55"/>
        <v>0</v>
      </c>
      <c r="Z195" s="5">
        <f t="shared" si="55"/>
        <v>0</v>
      </c>
      <c r="AB195" s="5">
        <f t="shared" ref="AB195:AB258" si="63">D195-J195</f>
        <v>74.400000000001455</v>
      </c>
      <c r="AC195" s="4">
        <f t="shared" si="56"/>
        <v>1052894.4927558335</v>
      </c>
      <c r="AD195" s="4">
        <f t="shared" si="57"/>
        <v>967200.00000001886</v>
      </c>
      <c r="AE195" s="5">
        <f t="shared" si="58"/>
        <v>85694.492755814688</v>
      </c>
      <c r="AF195" s="3" t="str">
        <f t="shared" si="59"/>
        <v>Y</v>
      </c>
      <c r="AH195" s="4">
        <f t="shared" si="60"/>
        <v>771635805.8361069</v>
      </c>
      <c r="AI195" s="4">
        <f t="shared" si="61"/>
        <v>708832800</v>
      </c>
    </row>
    <row r="196" spans="1:35">
      <c r="A196" s="3">
        <v>194</v>
      </c>
      <c r="B196" s="3" t="s">
        <v>860</v>
      </c>
      <c r="C196" s="3" t="s">
        <v>667</v>
      </c>
      <c r="D196" s="4">
        <v>2250</v>
      </c>
      <c r="E196" s="4">
        <v>81882702.980094224</v>
      </c>
      <c r="F196" s="4">
        <v>0</v>
      </c>
      <c r="G196" s="4">
        <v>0</v>
      </c>
      <c r="H196" s="4">
        <f t="shared" ref="H196:H259" si="64">E196+F196</f>
        <v>81882702.980094224</v>
      </c>
      <c r="I196" s="4">
        <f t="shared" ref="I196:I259" si="65">E196/D196</f>
        <v>36392.312435597436</v>
      </c>
      <c r="J196" s="4">
        <v>2164.3000000000002</v>
      </c>
      <c r="K196" s="5">
        <f t="shared" ref="K196:K259" si="66">MIN(D196,J196)</f>
        <v>2164.3000000000002</v>
      </c>
      <c r="L196" s="4">
        <v>36300</v>
      </c>
      <c r="M196" s="4">
        <f t="shared" si="62"/>
        <v>81682911.17573069</v>
      </c>
      <c r="N196" s="4">
        <f t="shared" ref="N196:N259" si="67">(L196-I196)*K196</f>
        <v>-199791.80436353071</v>
      </c>
      <c r="O196" s="4">
        <f t="shared" ref="O196:O259" si="68">IF(N196&gt;0,N196,0)</f>
        <v>0</v>
      </c>
      <c r="P196" s="4">
        <f t="shared" ref="P196:P259" si="69">IF(N196&lt;0,N196,0)</f>
        <v>-199791.80436353071</v>
      </c>
      <c r="T196" s="4">
        <f t="shared" ref="T196:T259" si="70">H196/D196</f>
        <v>36392.312435597436</v>
      </c>
      <c r="U196" s="4">
        <f t="shared" ref="U196:U259" si="71">(L196-T196)*K196</f>
        <v>-199791.80436353071</v>
      </c>
      <c r="V196" s="4">
        <f t="shared" ref="V196:V259" si="72">IF(U196&gt;0,U196,0)</f>
        <v>0</v>
      </c>
      <c r="W196" s="4">
        <f t="shared" ref="W196:W259" si="73">IF(U196&lt;0,U196,0)</f>
        <v>-199791.80436353071</v>
      </c>
      <c r="X196" s="5">
        <f t="shared" ref="X196:X259" si="74">H196+U196</f>
        <v>81682911.17573069</v>
      </c>
      <c r="Y196" s="5">
        <f t="shared" ref="Y196:Z259" si="75">O196-V196</f>
        <v>0</v>
      </c>
      <c r="Z196" s="5">
        <f t="shared" si="75"/>
        <v>0</v>
      </c>
      <c r="AB196" s="5">
        <f t="shared" si="63"/>
        <v>85.699999999999818</v>
      </c>
      <c r="AC196" s="4">
        <f t="shared" ref="AC196:AC259" si="76">T196*AB196</f>
        <v>3118821.1757306936</v>
      </c>
      <c r="AD196" s="4">
        <f t="shared" ref="AD196:AD259" si="77">L196*AB196</f>
        <v>3110909.9999999935</v>
      </c>
      <c r="AE196" s="5">
        <f t="shared" ref="AE196:AE259" si="78">IF(AB196&gt;0,AC196-AD196,0)</f>
        <v>7911.175730700139</v>
      </c>
      <c r="AF196" s="3" t="str">
        <f t="shared" ref="AF196:AF259" si="79">IF(AE196&gt;0,"Y","N")</f>
        <v>Y</v>
      </c>
      <c r="AH196" s="4">
        <f t="shared" ref="AH196:AH259" si="80">K196*T196</f>
        <v>78763881.804363534</v>
      </c>
      <c r="AI196" s="4">
        <f t="shared" ref="AI196:AI259" si="81">K196*L196</f>
        <v>78564090</v>
      </c>
    </row>
    <row r="197" spans="1:35">
      <c r="A197" s="3">
        <v>195</v>
      </c>
      <c r="B197" s="3" t="s">
        <v>861</v>
      </c>
      <c r="C197" s="3" t="s">
        <v>667</v>
      </c>
      <c r="D197" s="4">
        <v>9600</v>
      </c>
      <c r="E197" s="4">
        <v>748070452.56194854</v>
      </c>
      <c r="F197" s="4">
        <v>0</v>
      </c>
      <c r="G197" s="4">
        <v>0</v>
      </c>
      <c r="H197" s="4">
        <f t="shared" si="64"/>
        <v>748070452.56194854</v>
      </c>
      <c r="I197" s="4">
        <f t="shared" si="65"/>
        <v>77924.005475202968</v>
      </c>
      <c r="J197" s="4">
        <v>9530.7999999999993</v>
      </c>
      <c r="K197" s="5">
        <f t="shared" si="66"/>
        <v>9530.7999999999993</v>
      </c>
      <c r="L197" s="4">
        <v>67000</v>
      </c>
      <c r="M197" s="4">
        <f t="shared" si="62"/>
        <v>643955941.17888403</v>
      </c>
      <c r="N197" s="4">
        <f t="shared" si="67"/>
        <v>-104114511.38306445</v>
      </c>
      <c r="O197" s="4">
        <f t="shared" si="68"/>
        <v>0</v>
      </c>
      <c r="P197" s="4">
        <f t="shared" si="69"/>
        <v>-104114511.38306445</v>
      </c>
      <c r="T197" s="4">
        <f t="shared" si="70"/>
        <v>77924.005475202968</v>
      </c>
      <c r="U197" s="4">
        <f t="shared" si="71"/>
        <v>-104114511.38306445</v>
      </c>
      <c r="V197" s="4">
        <f t="shared" si="72"/>
        <v>0</v>
      </c>
      <c r="W197" s="4">
        <f t="shared" si="73"/>
        <v>-104114511.38306445</v>
      </c>
      <c r="X197" s="5">
        <f t="shared" si="74"/>
        <v>643955941.17888403</v>
      </c>
      <c r="Y197" s="5">
        <f t="shared" si="75"/>
        <v>0</v>
      </c>
      <c r="Z197" s="5">
        <f t="shared" si="75"/>
        <v>0</v>
      </c>
      <c r="AB197" s="5">
        <f t="shared" si="63"/>
        <v>69.200000000000728</v>
      </c>
      <c r="AC197" s="4">
        <f t="shared" si="76"/>
        <v>5392341.178884102</v>
      </c>
      <c r="AD197" s="4">
        <f t="shared" si="77"/>
        <v>4636400.0000000484</v>
      </c>
      <c r="AE197" s="5">
        <f t="shared" si="78"/>
        <v>755941.1788840536</v>
      </c>
      <c r="AF197" s="3" t="str">
        <f t="shared" si="79"/>
        <v>Y</v>
      </c>
      <c r="AH197" s="4">
        <f t="shared" si="80"/>
        <v>742678111.38306439</v>
      </c>
      <c r="AI197" s="4">
        <f t="shared" si="81"/>
        <v>638563600</v>
      </c>
    </row>
    <row r="198" spans="1:35">
      <c r="A198" s="3">
        <v>196</v>
      </c>
      <c r="B198" s="3" t="s">
        <v>862</v>
      </c>
      <c r="C198" s="3" t="s">
        <v>667</v>
      </c>
      <c r="D198" s="4">
        <v>57300</v>
      </c>
      <c r="E198" s="4">
        <v>2457575223.8018107</v>
      </c>
      <c r="F198" s="4">
        <v>0</v>
      </c>
      <c r="G198" s="4">
        <v>0</v>
      </c>
      <c r="H198" s="4">
        <f t="shared" si="64"/>
        <v>2457575223.8018107</v>
      </c>
      <c r="I198" s="4">
        <f t="shared" si="65"/>
        <v>42889.619961637189</v>
      </c>
      <c r="J198" s="4">
        <v>57282.7</v>
      </c>
      <c r="K198" s="5">
        <f t="shared" si="66"/>
        <v>57282.7</v>
      </c>
      <c r="L198" s="4">
        <v>42800</v>
      </c>
      <c r="M198" s="4">
        <f t="shared" si="62"/>
        <v>2452441550.4253364</v>
      </c>
      <c r="N198" s="4">
        <f t="shared" si="67"/>
        <v>-5133673.3764745882</v>
      </c>
      <c r="O198" s="4">
        <f t="shared" si="68"/>
        <v>0</v>
      </c>
      <c r="P198" s="4">
        <f t="shared" si="69"/>
        <v>-5133673.3764745882</v>
      </c>
      <c r="T198" s="4">
        <f t="shared" si="70"/>
        <v>42889.619961637189</v>
      </c>
      <c r="U198" s="4">
        <f t="shared" si="71"/>
        <v>-5133673.3764745882</v>
      </c>
      <c r="V198" s="4">
        <f t="shared" si="72"/>
        <v>0</v>
      </c>
      <c r="W198" s="4">
        <f t="shared" si="73"/>
        <v>-5133673.3764745882</v>
      </c>
      <c r="X198" s="5">
        <f t="shared" si="74"/>
        <v>2452441550.4253364</v>
      </c>
      <c r="Y198" s="5">
        <f t="shared" si="75"/>
        <v>0</v>
      </c>
      <c r="Z198" s="5">
        <f t="shared" si="75"/>
        <v>0</v>
      </c>
      <c r="AB198" s="5">
        <f t="shared" si="63"/>
        <v>17.30000000000291</v>
      </c>
      <c r="AC198" s="4">
        <f t="shared" si="76"/>
        <v>741990.42533644824</v>
      </c>
      <c r="AD198" s="4">
        <f t="shared" si="77"/>
        <v>740440.00000012456</v>
      </c>
      <c r="AE198" s="5">
        <f t="shared" si="78"/>
        <v>1550.4253363236785</v>
      </c>
      <c r="AF198" s="3" t="str">
        <f t="shared" si="79"/>
        <v>Y</v>
      </c>
      <c r="AH198" s="4">
        <f t="shared" si="80"/>
        <v>2456833233.3764744</v>
      </c>
      <c r="AI198" s="4">
        <f t="shared" si="81"/>
        <v>2451699560</v>
      </c>
    </row>
    <row r="199" spans="1:35">
      <c r="A199" s="3">
        <v>197</v>
      </c>
      <c r="B199" s="3" t="s">
        <v>863</v>
      </c>
      <c r="C199" s="3" t="s">
        <v>667</v>
      </c>
      <c r="D199" s="4">
        <v>4800</v>
      </c>
      <c r="E199" s="4">
        <v>54814994.321940273</v>
      </c>
      <c r="F199" s="4">
        <v>0</v>
      </c>
      <c r="G199" s="4">
        <v>0</v>
      </c>
      <c r="H199" s="4">
        <f t="shared" si="64"/>
        <v>54814994.321940273</v>
      </c>
      <c r="I199" s="4">
        <f t="shared" si="65"/>
        <v>11419.790483737557</v>
      </c>
      <c r="J199" s="4">
        <v>4747.3</v>
      </c>
      <c r="K199" s="5">
        <f t="shared" si="66"/>
        <v>4747.3</v>
      </c>
      <c r="L199" s="4">
        <v>15400</v>
      </c>
      <c r="M199" s="4">
        <f t="shared" si="62"/>
        <v>73710242.958492965</v>
      </c>
      <c r="N199" s="4">
        <f t="shared" si="67"/>
        <v>18895248.636552695</v>
      </c>
      <c r="O199" s="4">
        <f t="shared" si="68"/>
        <v>18895248.636552695</v>
      </c>
      <c r="P199" s="4">
        <f t="shared" si="69"/>
        <v>0</v>
      </c>
      <c r="T199" s="4">
        <f t="shared" si="70"/>
        <v>11419.790483737557</v>
      </c>
      <c r="U199" s="4">
        <f t="shared" si="71"/>
        <v>18895248.636552695</v>
      </c>
      <c r="V199" s="4">
        <f t="shared" si="72"/>
        <v>18895248.636552695</v>
      </c>
      <c r="W199" s="4">
        <f t="shared" si="73"/>
        <v>0</v>
      </c>
      <c r="X199" s="5">
        <f t="shared" si="74"/>
        <v>73710242.958492965</v>
      </c>
      <c r="Y199" s="5">
        <f t="shared" si="75"/>
        <v>0</v>
      </c>
      <c r="Z199" s="5">
        <f t="shared" si="75"/>
        <v>0</v>
      </c>
      <c r="AB199" s="5">
        <f t="shared" si="63"/>
        <v>52.699999999999818</v>
      </c>
      <c r="AC199" s="4">
        <f t="shared" si="76"/>
        <v>601822.95849296718</v>
      </c>
      <c r="AD199" s="4">
        <f t="shared" si="77"/>
        <v>811579.99999999721</v>
      </c>
      <c r="AE199" s="5">
        <f t="shared" si="78"/>
        <v>-209757.04150703002</v>
      </c>
      <c r="AF199" s="3" t="str">
        <f t="shared" si="79"/>
        <v>N</v>
      </c>
      <c r="AH199" s="4">
        <f t="shared" si="80"/>
        <v>54213171.363447309</v>
      </c>
      <c r="AI199" s="4">
        <f t="shared" si="81"/>
        <v>73108420</v>
      </c>
    </row>
    <row r="200" spans="1:35">
      <c r="A200" s="3">
        <v>198</v>
      </c>
      <c r="B200" s="3" t="s">
        <v>864</v>
      </c>
      <c r="C200" s="3" t="s">
        <v>667</v>
      </c>
      <c r="D200" s="4">
        <v>700</v>
      </c>
      <c r="E200" s="4">
        <v>14648665.265076801</v>
      </c>
      <c r="F200" s="4">
        <v>0</v>
      </c>
      <c r="G200" s="4">
        <v>0</v>
      </c>
      <c r="H200" s="4">
        <f t="shared" si="64"/>
        <v>14648665.265076801</v>
      </c>
      <c r="I200" s="4">
        <f t="shared" si="65"/>
        <v>20926.66466439543</v>
      </c>
      <c r="J200" s="4">
        <v>657.1</v>
      </c>
      <c r="K200" s="5">
        <f t="shared" si="66"/>
        <v>657.1</v>
      </c>
      <c r="L200" s="4">
        <v>19000</v>
      </c>
      <c r="M200" s="4">
        <f t="shared" si="62"/>
        <v>13382653.914102564</v>
      </c>
      <c r="N200" s="4">
        <f t="shared" si="67"/>
        <v>-1266011.3509742371</v>
      </c>
      <c r="O200" s="4">
        <f t="shared" si="68"/>
        <v>0</v>
      </c>
      <c r="P200" s="4">
        <f t="shared" si="69"/>
        <v>-1266011.3509742371</v>
      </c>
      <c r="T200" s="4">
        <f t="shared" si="70"/>
        <v>20926.66466439543</v>
      </c>
      <c r="U200" s="4">
        <f t="shared" si="71"/>
        <v>-1266011.3509742371</v>
      </c>
      <c r="V200" s="4">
        <f t="shared" si="72"/>
        <v>0</v>
      </c>
      <c r="W200" s="4">
        <f t="shared" si="73"/>
        <v>-1266011.3509742371</v>
      </c>
      <c r="X200" s="5">
        <f t="shared" si="74"/>
        <v>13382653.914102564</v>
      </c>
      <c r="Y200" s="5">
        <f t="shared" si="75"/>
        <v>0</v>
      </c>
      <c r="Z200" s="5">
        <f t="shared" si="75"/>
        <v>0</v>
      </c>
      <c r="AB200" s="5">
        <f t="shared" si="63"/>
        <v>42.899999999999977</v>
      </c>
      <c r="AC200" s="4">
        <f t="shared" si="76"/>
        <v>897753.91410256352</v>
      </c>
      <c r="AD200" s="4">
        <f t="shared" si="77"/>
        <v>815099.99999999953</v>
      </c>
      <c r="AE200" s="5">
        <f t="shared" si="78"/>
        <v>82653.914102563984</v>
      </c>
      <c r="AF200" s="3" t="str">
        <f t="shared" si="79"/>
        <v>Y</v>
      </c>
      <c r="AH200" s="4">
        <f t="shared" si="80"/>
        <v>13750911.350974238</v>
      </c>
      <c r="AI200" s="4">
        <f t="shared" si="81"/>
        <v>12484900</v>
      </c>
    </row>
    <row r="201" spans="1:35">
      <c r="A201" s="3">
        <v>199</v>
      </c>
      <c r="B201" s="3" t="s">
        <v>865</v>
      </c>
      <c r="C201" s="3" t="s">
        <v>667</v>
      </c>
      <c r="D201" s="4">
        <v>4900</v>
      </c>
      <c r="E201" s="4">
        <v>71770393.271574169</v>
      </c>
      <c r="F201" s="4">
        <v>0</v>
      </c>
      <c r="G201" s="4">
        <v>0</v>
      </c>
      <c r="H201" s="4">
        <f t="shared" si="64"/>
        <v>71770393.271574169</v>
      </c>
      <c r="I201" s="4">
        <f t="shared" si="65"/>
        <v>14647.019035015137</v>
      </c>
      <c r="J201" s="4">
        <v>4800.8</v>
      </c>
      <c r="K201" s="5">
        <f t="shared" si="66"/>
        <v>4800.8</v>
      </c>
      <c r="L201" s="4">
        <v>21550</v>
      </c>
      <c r="M201" s="4">
        <f t="shared" si="62"/>
        <v>104910224.2882735</v>
      </c>
      <c r="N201" s="4">
        <f t="shared" si="67"/>
        <v>33139831.016699333</v>
      </c>
      <c r="O201" s="4">
        <f t="shared" si="68"/>
        <v>33139831.016699333</v>
      </c>
      <c r="P201" s="4">
        <f t="shared" si="69"/>
        <v>0</v>
      </c>
      <c r="T201" s="4">
        <f t="shared" si="70"/>
        <v>14647.019035015137</v>
      </c>
      <c r="U201" s="4">
        <f t="shared" si="71"/>
        <v>33139831.016699333</v>
      </c>
      <c r="V201" s="4">
        <f t="shared" si="72"/>
        <v>33139831.016699333</v>
      </c>
      <c r="W201" s="4">
        <f t="shared" si="73"/>
        <v>0</v>
      </c>
      <c r="X201" s="5">
        <f t="shared" si="74"/>
        <v>104910224.2882735</v>
      </c>
      <c r="Y201" s="5">
        <f t="shared" si="75"/>
        <v>0</v>
      </c>
      <c r="Z201" s="5">
        <f t="shared" si="75"/>
        <v>0</v>
      </c>
      <c r="AB201" s="5">
        <f t="shared" si="63"/>
        <v>99.199999999999818</v>
      </c>
      <c r="AC201" s="4">
        <f t="shared" si="76"/>
        <v>1452984.2882734989</v>
      </c>
      <c r="AD201" s="4">
        <f t="shared" si="77"/>
        <v>2137759.9999999963</v>
      </c>
      <c r="AE201" s="5">
        <f t="shared" si="78"/>
        <v>-684775.71172649739</v>
      </c>
      <c r="AF201" s="3" t="str">
        <f t="shared" si="79"/>
        <v>N</v>
      </c>
      <c r="AH201" s="4">
        <f t="shared" si="80"/>
        <v>70317408.983300671</v>
      </c>
      <c r="AI201" s="4">
        <f t="shared" si="81"/>
        <v>103457240</v>
      </c>
    </row>
    <row r="202" spans="1:35">
      <c r="A202" s="3">
        <v>200</v>
      </c>
      <c r="B202" s="3" t="s">
        <v>866</v>
      </c>
      <c r="C202" s="3" t="s">
        <v>667</v>
      </c>
      <c r="D202" s="4">
        <v>200</v>
      </c>
      <c r="E202" s="4">
        <v>17861147.350427352</v>
      </c>
      <c r="F202" s="4">
        <v>0</v>
      </c>
      <c r="G202" s="4">
        <v>0</v>
      </c>
      <c r="H202" s="4">
        <f t="shared" si="64"/>
        <v>17861147.350427352</v>
      </c>
      <c r="I202" s="4">
        <f t="shared" si="65"/>
        <v>89305.736752136756</v>
      </c>
      <c r="J202" s="4">
        <v>170.6</v>
      </c>
      <c r="K202" s="5">
        <f t="shared" si="66"/>
        <v>170.6</v>
      </c>
      <c r="L202" s="4">
        <v>88200</v>
      </c>
      <c r="M202" s="4">
        <f t="shared" si="62"/>
        <v>17672508.66051282</v>
      </c>
      <c r="N202" s="4">
        <f t="shared" si="67"/>
        <v>-188638.68991453055</v>
      </c>
      <c r="O202" s="4">
        <f t="shared" si="68"/>
        <v>0</v>
      </c>
      <c r="P202" s="4">
        <f t="shared" si="69"/>
        <v>-188638.68991453055</v>
      </c>
      <c r="T202" s="4">
        <f t="shared" si="70"/>
        <v>89305.736752136756</v>
      </c>
      <c r="U202" s="4">
        <f t="shared" si="71"/>
        <v>-188638.68991453055</v>
      </c>
      <c r="V202" s="4">
        <f t="shared" si="72"/>
        <v>0</v>
      </c>
      <c r="W202" s="4">
        <f t="shared" si="73"/>
        <v>-188638.68991453055</v>
      </c>
      <c r="X202" s="5">
        <f t="shared" si="74"/>
        <v>17672508.66051282</v>
      </c>
      <c r="Y202" s="5">
        <f t="shared" si="75"/>
        <v>0</v>
      </c>
      <c r="Z202" s="5">
        <f t="shared" si="75"/>
        <v>0</v>
      </c>
      <c r="AB202" s="5">
        <f t="shared" si="63"/>
        <v>29.400000000000006</v>
      </c>
      <c r="AC202" s="4">
        <f t="shared" si="76"/>
        <v>2625588.6605128213</v>
      </c>
      <c r="AD202" s="4">
        <f t="shared" si="77"/>
        <v>2593080.0000000005</v>
      </c>
      <c r="AE202" s="5">
        <f t="shared" si="78"/>
        <v>32508.660512820818</v>
      </c>
      <c r="AF202" s="3" t="str">
        <f t="shared" si="79"/>
        <v>Y</v>
      </c>
      <c r="AH202" s="4">
        <f t="shared" si="80"/>
        <v>15235558.68991453</v>
      </c>
      <c r="AI202" s="4">
        <f t="shared" si="81"/>
        <v>15046920</v>
      </c>
    </row>
    <row r="203" spans="1:35">
      <c r="A203" s="3">
        <v>201</v>
      </c>
      <c r="B203" s="3" t="s">
        <v>867</v>
      </c>
      <c r="C203" s="3" t="s">
        <v>667</v>
      </c>
      <c r="D203" s="4">
        <v>5700</v>
      </c>
      <c r="E203" s="4">
        <v>88978774.595717371</v>
      </c>
      <c r="F203" s="4">
        <v>0</v>
      </c>
      <c r="G203" s="4">
        <v>0</v>
      </c>
      <c r="H203" s="4">
        <f t="shared" si="64"/>
        <v>88978774.595717371</v>
      </c>
      <c r="I203" s="4">
        <f t="shared" si="65"/>
        <v>15610.311332581994</v>
      </c>
      <c r="J203" s="4">
        <v>5693.9</v>
      </c>
      <c r="K203" s="5">
        <f t="shared" si="66"/>
        <v>5693.9</v>
      </c>
      <c r="L203" s="4">
        <v>17050</v>
      </c>
      <c r="M203" s="4">
        <f t="shared" si="62"/>
        <v>97176217.89912875</v>
      </c>
      <c r="N203" s="4">
        <f t="shared" si="67"/>
        <v>8197443.3034113832</v>
      </c>
      <c r="O203" s="4">
        <f t="shared" si="68"/>
        <v>8197443.3034113832</v>
      </c>
      <c r="P203" s="4">
        <f t="shared" si="69"/>
        <v>0</v>
      </c>
      <c r="T203" s="4">
        <f t="shared" si="70"/>
        <v>15610.311332581994</v>
      </c>
      <c r="U203" s="4">
        <f t="shared" si="71"/>
        <v>8197443.3034113832</v>
      </c>
      <c r="V203" s="4">
        <f t="shared" si="72"/>
        <v>8197443.3034113832</v>
      </c>
      <c r="W203" s="4">
        <f t="shared" si="73"/>
        <v>0</v>
      </c>
      <c r="X203" s="5">
        <f t="shared" si="74"/>
        <v>97176217.89912875</v>
      </c>
      <c r="Y203" s="5">
        <f t="shared" si="75"/>
        <v>0</v>
      </c>
      <c r="Z203" s="5">
        <f t="shared" si="75"/>
        <v>0</v>
      </c>
      <c r="AB203" s="5">
        <f t="shared" si="63"/>
        <v>6.1000000000003638</v>
      </c>
      <c r="AC203" s="4">
        <f t="shared" si="76"/>
        <v>95222.899128755846</v>
      </c>
      <c r="AD203" s="4">
        <f t="shared" si="77"/>
        <v>104005.0000000062</v>
      </c>
      <c r="AE203" s="5">
        <f t="shared" si="78"/>
        <v>-8782.1008712503535</v>
      </c>
      <c r="AF203" s="3" t="str">
        <f t="shared" si="79"/>
        <v>N</v>
      </c>
      <c r="AH203" s="4">
        <f t="shared" si="80"/>
        <v>88883551.696588606</v>
      </c>
      <c r="AI203" s="4">
        <f t="shared" si="81"/>
        <v>97080995</v>
      </c>
    </row>
    <row r="204" spans="1:35">
      <c r="A204" s="3">
        <v>202</v>
      </c>
      <c r="B204" s="3" t="s">
        <v>868</v>
      </c>
      <c r="C204" s="3" t="s">
        <v>667</v>
      </c>
      <c r="D204" s="4">
        <v>5300</v>
      </c>
      <c r="E204" s="4">
        <v>76845033.167965248</v>
      </c>
      <c r="F204" s="4">
        <v>0</v>
      </c>
      <c r="G204" s="4">
        <v>0</v>
      </c>
      <c r="H204" s="4">
        <f t="shared" si="64"/>
        <v>76845033.167965248</v>
      </c>
      <c r="I204" s="4">
        <f t="shared" si="65"/>
        <v>14499.062861880235</v>
      </c>
      <c r="J204" s="4">
        <v>5286.7</v>
      </c>
      <c r="K204" s="5">
        <f t="shared" si="66"/>
        <v>5286.7</v>
      </c>
      <c r="L204" s="4">
        <v>18400</v>
      </c>
      <c r="M204" s="4">
        <f t="shared" si="62"/>
        <v>97468117.536063015</v>
      </c>
      <c r="N204" s="4">
        <f t="shared" si="67"/>
        <v>20623084.368097764</v>
      </c>
      <c r="O204" s="4">
        <f t="shared" si="68"/>
        <v>20623084.368097764</v>
      </c>
      <c r="P204" s="4">
        <f t="shared" si="69"/>
        <v>0</v>
      </c>
      <c r="T204" s="4">
        <f t="shared" si="70"/>
        <v>14499.062861880235</v>
      </c>
      <c r="U204" s="4">
        <f t="shared" si="71"/>
        <v>20623084.368097764</v>
      </c>
      <c r="V204" s="4">
        <f t="shared" si="72"/>
        <v>20623084.368097764</v>
      </c>
      <c r="W204" s="4">
        <f t="shared" si="73"/>
        <v>0</v>
      </c>
      <c r="X204" s="5">
        <f t="shared" si="74"/>
        <v>97468117.536063015</v>
      </c>
      <c r="Y204" s="5">
        <f t="shared" si="75"/>
        <v>0</v>
      </c>
      <c r="Z204" s="5">
        <f t="shared" si="75"/>
        <v>0</v>
      </c>
      <c r="AB204" s="5">
        <f t="shared" si="63"/>
        <v>13.300000000000182</v>
      </c>
      <c r="AC204" s="4">
        <f t="shared" si="76"/>
        <v>192837.53606300976</v>
      </c>
      <c r="AD204" s="4">
        <f t="shared" si="77"/>
        <v>244720.00000000335</v>
      </c>
      <c r="AE204" s="5">
        <f t="shared" si="78"/>
        <v>-51882.46393699359</v>
      </c>
      <c r="AF204" s="3" t="str">
        <f t="shared" si="79"/>
        <v>N</v>
      </c>
      <c r="AH204" s="4">
        <f t="shared" si="80"/>
        <v>76652195.631902233</v>
      </c>
      <c r="AI204" s="4">
        <f t="shared" si="81"/>
        <v>97275280</v>
      </c>
    </row>
    <row r="205" spans="1:35">
      <c r="A205" s="3">
        <v>203</v>
      </c>
      <c r="B205" s="3" t="s">
        <v>869</v>
      </c>
      <c r="C205" s="3" t="s">
        <v>667</v>
      </c>
      <c r="D205" s="4">
        <v>9520</v>
      </c>
      <c r="E205" s="4">
        <v>143236397.03297409</v>
      </c>
      <c r="F205" s="4">
        <v>0</v>
      </c>
      <c r="G205" s="4">
        <v>0</v>
      </c>
      <c r="H205" s="4">
        <f t="shared" si="64"/>
        <v>143236397.03297409</v>
      </c>
      <c r="I205" s="4">
        <f t="shared" si="65"/>
        <v>15045.840024472069</v>
      </c>
      <c r="J205" s="4">
        <v>9578.2999999999993</v>
      </c>
      <c r="K205" s="5">
        <f t="shared" si="66"/>
        <v>9520</v>
      </c>
      <c r="L205" s="4">
        <v>24650</v>
      </c>
      <c r="M205" s="4">
        <f t="shared" si="62"/>
        <v>234668000</v>
      </c>
      <c r="N205" s="4">
        <f t="shared" si="67"/>
        <v>91431602.967025906</v>
      </c>
      <c r="O205" s="4">
        <f t="shared" si="68"/>
        <v>91431602.967025906</v>
      </c>
      <c r="P205" s="4">
        <f t="shared" si="69"/>
        <v>0</v>
      </c>
      <c r="T205" s="4">
        <f t="shared" si="70"/>
        <v>15045.840024472069</v>
      </c>
      <c r="U205" s="4">
        <f t="shared" si="71"/>
        <v>91431602.967025906</v>
      </c>
      <c r="V205" s="4">
        <f t="shared" si="72"/>
        <v>91431602.967025906</v>
      </c>
      <c r="W205" s="4">
        <f t="shared" si="73"/>
        <v>0</v>
      </c>
      <c r="X205" s="5">
        <f t="shared" si="74"/>
        <v>234668000</v>
      </c>
      <c r="Y205" s="5">
        <f t="shared" si="75"/>
        <v>0</v>
      </c>
      <c r="Z205" s="5">
        <f t="shared" si="75"/>
        <v>0</v>
      </c>
      <c r="AB205" s="5">
        <f t="shared" si="63"/>
        <v>-58.299999999999272</v>
      </c>
      <c r="AC205" s="4">
        <f t="shared" si="76"/>
        <v>-877172.4734267107</v>
      </c>
      <c r="AD205" s="4">
        <f t="shared" si="77"/>
        <v>-1437094.9999999821</v>
      </c>
      <c r="AE205" s="5">
        <f t="shared" si="78"/>
        <v>0</v>
      </c>
      <c r="AF205" s="3" t="str">
        <f t="shared" si="79"/>
        <v>N</v>
      </c>
      <c r="AH205" s="4">
        <f t="shared" si="80"/>
        <v>143236397.03297409</v>
      </c>
      <c r="AI205" s="4">
        <f t="shared" si="81"/>
        <v>234668000</v>
      </c>
    </row>
    <row r="206" spans="1:35">
      <c r="A206" s="3">
        <v>204</v>
      </c>
      <c r="B206" s="3" t="s">
        <v>870</v>
      </c>
      <c r="C206" s="3" t="s">
        <v>667</v>
      </c>
      <c r="D206" s="4">
        <v>8300</v>
      </c>
      <c r="E206" s="4">
        <v>233612634.8791123</v>
      </c>
      <c r="F206" s="4">
        <v>0</v>
      </c>
      <c r="G206" s="4">
        <v>0</v>
      </c>
      <c r="H206" s="4">
        <f t="shared" si="64"/>
        <v>233612634.8791123</v>
      </c>
      <c r="I206" s="4">
        <f t="shared" si="65"/>
        <v>28146.100587844856</v>
      </c>
      <c r="J206" s="4">
        <v>8265.4</v>
      </c>
      <c r="K206" s="5">
        <f t="shared" si="66"/>
        <v>8265.4</v>
      </c>
      <c r="L206" s="4">
        <v>36650</v>
      </c>
      <c r="M206" s="4">
        <f t="shared" si="62"/>
        <v>303900765.08033943</v>
      </c>
      <c r="N206" s="4">
        <f t="shared" si="67"/>
        <v>70288130.201227129</v>
      </c>
      <c r="O206" s="4">
        <f t="shared" si="68"/>
        <v>70288130.201227129</v>
      </c>
      <c r="P206" s="4">
        <f t="shared" si="69"/>
        <v>0</v>
      </c>
      <c r="T206" s="4">
        <f t="shared" si="70"/>
        <v>28146.100587844856</v>
      </c>
      <c r="U206" s="4">
        <f t="shared" si="71"/>
        <v>70288130.201227129</v>
      </c>
      <c r="V206" s="4">
        <f t="shared" si="72"/>
        <v>70288130.201227129</v>
      </c>
      <c r="W206" s="4">
        <f t="shared" si="73"/>
        <v>0</v>
      </c>
      <c r="X206" s="5">
        <f t="shared" si="74"/>
        <v>303900765.08033943</v>
      </c>
      <c r="Y206" s="5">
        <f t="shared" si="75"/>
        <v>0</v>
      </c>
      <c r="Z206" s="5">
        <f t="shared" si="75"/>
        <v>0</v>
      </c>
      <c r="AB206" s="5">
        <f t="shared" si="63"/>
        <v>34.600000000000364</v>
      </c>
      <c r="AC206" s="4">
        <f t="shared" si="76"/>
        <v>973855.08033944224</v>
      </c>
      <c r="AD206" s="4">
        <f t="shared" si="77"/>
        <v>1268090.0000000133</v>
      </c>
      <c r="AE206" s="5">
        <f t="shared" si="78"/>
        <v>-294234.91966057103</v>
      </c>
      <c r="AF206" s="3" t="str">
        <f t="shared" si="79"/>
        <v>N</v>
      </c>
      <c r="AH206" s="4">
        <f t="shared" si="80"/>
        <v>232638779.79877287</v>
      </c>
      <c r="AI206" s="4">
        <f t="shared" si="81"/>
        <v>302926910</v>
      </c>
    </row>
    <row r="207" spans="1:35">
      <c r="A207" s="3">
        <v>205</v>
      </c>
      <c r="B207" s="3" t="s">
        <v>871</v>
      </c>
      <c r="C207" s="3" t="s">
        <v>667</v>
      </c>
      <c r="D207" s="4">
        <v>1100</v>
      </c>
      <c r="E207" s="4">
        <v>87878825.15509586</v>
      </c>
      <c r="F207" s="4">
        <v>0</v>
      </c>
      <c r="G207" s="4">
        <v>0</v>
      </c>
      <c r="H207" s="4">
        <f t="shared" si="64"/>
        <v>87878825.15509586</v>
      </c>
      <c r="I207" s="4">
        <f t="shared" si="65"/>
        <v>79889.84105008714</v>
      </c>
      <c r="J207" s="4">
        <v>1086.2</v>
      </c>
      <c r="K207" s="5">
        <f t="shared" si="66"/>
        <v>1086.2</v>
      </c>
      <c r="L207" s="4">
        <v>68100</v>
      </c>
      <c r="M207" s="4">
        <f t="shared" si="62"/>
        <v>75072699.806491211</v>
      </c>
      <c r="N207" s="4">
        <f t="shared" si="67"/>
        <v>-12806125.348604651</v>
      </c>
      <c r="O207" s="4">
        <f t="shared" si="68"/>
        <v>0</v>
      </c>
      <c r="P207" s="4">
        <f t="shared" si="69"/>
        <v>-12806125.348604651</v>
      </c>
      <c r="T207" s="4">
        <f t="shared" si="70"/>
        <v>79889.84105008714</v>
      </c>
      <c r="U207" s="4">
        <f t="shared" si="71"/>
        <v>-12806125.348604651</v>
      </c>
      <c r="V207" s="4">
        <f t="shared" si="72"/>
        <v>0</v>
      </c>
      <c r="W207" s="4">
        <f t="shared" si="73"/>
        <v>-12806125.348604651</v>
      </c>
      <c r="X207" s="5">
        <f t="shared" si="74"/>
        <v>75072699.806491211</v>
      </c>
      <c r="Y207" s="5">
        <f t="shared" si="75"/>
        <v>0</v>
      </c>
      <c r="Z207" s="5">
        <f t="shared" si="75"/>
        <v>0</v>
      </c>
      <c r="AB207" s="5">
        <f t="shared" si="63"/>
        <v>13.799999999999955</v>
      </c>
      <c r="AC207" s="4">
        <f t="shared" si="76"/>
        <v>1102479.8064911989</v>
      </c>
      <c r="AD207" s="4">
        <f t="shared" si="77"/>
        <v>939779.99999999686</v>
      </c>
      <c r="AE207" s="5">
        <f t="shared" si="78"/>
        <v>162699.80649120209</v>
      </c>
      <c r="AF207" s="3" t="str">
        <f t="shared" si="79"/>
        <v>Y</v>
      </c>
      <c r="AH207" s="4">
        <f t="shared" si="80"/>
        <v>86776345.348604649</v>
      </c>
      <c r="AI207" s="4">
        <f t="shared" si="81"/>
        <v>73970220</v>
      </c>
    </row>
    <row r="208" spans="1:35">
      <c r="A208" s="3">
        <v>206</v>
      </c>
      <c r="B208" s="3" t="s">
        <v>872</v>
      </c>
      <c r="C208" s="3" t="s">
        <v>667</v>
      </c>
      <c r="D208" s="4">
        <v>900</v>
      </c>
      <c r="E208" s="4">
        <v>26737547.012362085</v>
      </c>
      <c r="F208" s="4">
        <v>0</v>
      </c>
      <c r="G208" s="4">
        <v>0</v>
      </c>
      <c r="H208" s="4">
        <f t="shared" si="64"/>
        <v>26737547.012362085</v>
      </c>
      <c r="I208" s="4">
        <f t="shared" si="65"/>
        <v>29708.385569291208</v>
      </c>
      <c r="J208" s="4">
        <v>858.7</v>
      </c>
      <c r="K208" s="5">
        <f t="shared" si="66"/>
        <v>858.7</v>
      </c>
      <c r="L208" s="4">
        <v>24500</v>
      </c>
      <c r="M208" s="4">
        <f t="shared" si="62"/>
        <v>22265106.324011724</v>
      </c>
      <c r="N208" s="4">
        <f t="shared" si="67"/>
        <v>-4472440.6883503599</v>
      </c>
      <c r="O208" s="4">
        <f t="shared" si="68"/>
        <v>0</v>
      </c>
      <c r="P208" s="4">
        <f t="shared" si="69"/>
        <v>-4472440.6883503599</v>
      </c>
      <c r="T208" s="4">
        <f t="shared" si="70"/>
        <v>29708.385569291208</v>
      </c>
      <c r="U208" s="4">
        <f t="shared" si="71"/>
        <v>-4472440.6883503599</v>
      </c>
      <c r="V208" s="4">
        <f t="shared" si="72"/>
        <v>0</v>
      </c>
      <c r="W208" s="4">
        <f t="shared" si="73"/>
        <v>-4472440.6883503599</v>
      </c>
      <c r="X208" s="5">
        <f t="shared" si="74"/>
        <v>22265106.324011724</v>
      </c>
      <c r="Y208" s="5">
        <f t="shared" si="75"/>
        <v>0</v>
      </c>
      <c r="Z208" s="5">
        <f t="shared" si="75"/>
        <v>0</v>
      </c>
      <c r="AB208" s="5">
        <f t="shared" si="63"/>
        <v>41.299999999999955</v>
      </c>
      <c r="AC208" s="4">
        <f t="shared" si="76"/>
        <v>1226956.3240117256</v>
      </c>
      <c r="AD208" s="4">
        <f t="shared" si="77"/>
        <v>1011849.9999999988</v>
      </c>
      <c r="AE208" s="5">
        <f t="shared" si="78"/>
        <v>215106.32401172677</v>
      </c>
      <c r="AF208" s="3" t="str">
        <f t="shared" si="79"/>
        <v>Y</v>
      </c>
      <c r="AH208" s="4">
        <f t="shared" si="80"/>
        <v>25510590.688350361</v>
      </c>
      <c r="AI208" s="4">
        <f t="shared" si="81"/>
        <v>21038150</v>
      </c>
    </row>
    <row r="209" spans="1:35">
      <c r="A209" s="3">
        <v>207</v>
      </c>
      <c r="B209" s="3" t="s">
        <v>873</v>
      </c>
      <c r="C209" s="3" t="s">
        <v>667</v>
      </c>
      <c r="D209" s="4">
        <v>400</v>
      </c>
      <c r="E209" s="4">
        <v>8459811.841880817</v>
      </c>
      <c r="F209" s="4">
        <v>0</v>
      </c>
      <c r="G209" s="4">
        <v>0</v>
      </c>
      <c r="H209" s="4">
        <f t="shared" si="64"/>
        <v>8459811.841880817</v>
      </c>
      <c r="I209" s="4">
        <f t="shared" si="65"/>
        <v>21149.529604702042</v>
      </c>
      <c r="J209" s="4">
        <v>311.10000000000002</v>
      </c>
      <c r="K209" s="5">
        <f t="shared" si="66"/>
        <v>311.10000000000002</v>
      </c>
      <c r="L209" s="4">
        <v>27300</v>
      </c>
      <c r="M209" s="4">
        <f t="shared" si="62"/>
        <v>10373223.181858012</v>
      </c>
      <c r="N209" s="4">
        <f t="shared" si="67"/>
        <v>1913411.3399771948</v>
      </c>
      <c r="O209" s="4">
        <f t="shared" si="68"/>
        <v>1913411.3399771948</v>
      </c>
      <c r="P209" s="4">
        <f t="shared" si="69"/>
        <v>0</v>
      </c>
      <c r="T209" s="4">
        <f t="shared" si="70"/>
        <v>21149.529604702042</v>
      </c>
      <c r="U209" s="4">
        <f t="shared" si="71"/>
        <v>1913411.3399771948</v>
      </c>
      <c r="V209" s="4">
        <f t="shared" si="72"/>
        <v>1913411.3399771948</v>
      </c>
      <c r="W209" s="4">
        <f t="shared" si="73"/>
        <v>0</v>
      </c>
      <c r="X209" s="5">
        <f t="shared" si="74"/>
        <v>10373223.181858012</v>
      </c>
      <c r="Y209" s="5">
        <f t="shared" si="75"/>
        <v>0</v>
      </c>
      <c r="Z209" s="5">
        <f t="shared" si="75"/>
        <v>0</v>
      </c>
      <c r="AB209" s="5">
        <f t="shared" si="63"/>
        <v>88.899999999999977</v>
      </c>
      <c r="AC209" s="4">
        <f t="shared" si="76"/>
        <v>1880193.1818580111</v>
      </c>
      <c r="AD209" s="4">
        <f t="shared" si="77"/>
        <v>2426969.9999999995</v>
      </c>
      <c r="AE209" s="5">
        <f t="shared" si="78"/>
        <v>-546776.81814198848</v>
      </c>
      <c r="AF209" s="3" t="str">
        <f t="shared" si="79"/>
        <v>N</v>
      </c>
      <c r="AH209" s="4">
        <f t="shared" si="80"/>
        <v>6579618.6600228054</v>
      </c>
      <c r="AI209" s="4">
        <f t="shared" si="81"/>
        <v>8493030</v>
      </c>
    </row>
    <row r="210" spans="1:35">
      <c r="A210" s="3">
        <v>208</v>
      </c>
      <c r="B210" s="3" t="s">
        <v>874</v>
      </c>
      <c r="C210" s="3" t="s">
        <v>667</v>
      </c>
      <c r="D210" s="4">
        <v>37055</v>
      </c>
      <c r="E210" s="4">
        <v>508514704.6864922</v>
      </c>
      <c r="F210" s="4">
        <v>0</v>
      </c>
      <c r="G210" s="4">
        <v>0</v>
      </c>
      <c r="H210" s="4">
        <f t="shared" si="64"/>
        <v>508514704.6864922</v>
      </c>
      <c r="I210" s="4">
        <f t="shared" si="65"/>
        <v>13723.241254526843</v>
      </c>
      <c r="J210" s="4">
        <v>35796.199999999997</v>
      </c>
      <c r="K210" s="5">
        <f t="shared" si="66"/>
        <v>35796.199999999997</v>
      </c>
      <c r="L210" s="4">
        <v>17050</v>
      </c>
      <c r="M210" s="4">
        <f t="shared" si="62"/>
        <v>627600026.09119844</v>
      </c>
      <c r="N210" s="4">
        <f t="shared" si="67"/>
        <v>119085321.40470619</v>
      </c>
      <c r="O210" s="4">
        <f t="shared" si="68"/>
        <v>119085321.40470619</v>
      </c>
      <c r="P210" s="4">
        <f t="shared" si="69"/>
        <v>0</v>
      </c>
      <c r="T210" s="4">
        <f t="shared" si="70"/>
        <v>13723.241254526843</v>
      </c>
      <c r="U210" s="4">
        <f t="shared" si="71"/>
        <v>119085321.40470619</v>
      </c>
      <c r="V210" s="4">
        <f t="shared" si="72"/>
        <v>119085321.40470619</v>
      </c>
      <c r="W210" s="4">
        <f t="shared" si="73"/>
        <v>0</v>
      </c>
      <c r="X210" s="5">
        <f t="shared" si="74"/>
        <v>627600026.09119844</v>
      </c>
      <c r="Y210" s="5">
        <f t="shared" si="75"/>
        <v>0</v>
      </c>
      <c r="Z210" s="5">
        <f t="shared" si="75"/>
        <v>0</v>
      </c>
      <c r="AB210" s="5">
        <f t="shared" si="63"/>
        <v>1258.8000000000029</v>
      </c>
      <c r="AC210" s="4">
        <f t="shared" si="76"/>
        <v>17274816.091198429</v>
      </c>
      <c r="AD210" s="4">
        <f t="shared" si="77"/>
        <v>21462540.000000048</v>
      </c>
      <c r="AE210" s="5">
        <f t="shared" si="78"/>
        <v>-4187723.908801619</v>
      </c>
      <c r="AF210" s="3" t="str">
        <f t="shared" si="79"/>
        <v>N</v>
      </c>
      <c r="AH210" s="4">
        <f t="shared" si="80"/>
        <v>491239888.59529376</v>
      </c>
      <c r="AI210" s="4">
        <f t="shared" si="81"/>
        <v>610325210</v>
      </c>
    </row>
    <row r="211" spans="1:35">
      <c r="A211" s="3">
        <v>209</v>
      </c>
      <c r="B211" s="3" t="s">
        <v>875</v>
      </c>
      <c r="C211" s="3" t="s">
        <v>667</v>
      </c>
      <c r="D211" s="4">
        <v>5600</v>
      </c>
      <c r="E211" s="4">
        <v>49053708.183191158</v>
      </c>
      <c r="F211" s="4">
        <v>0</v>
      </c>
      <c r="G211" s="4">
        <v>0</v>
      </c>
      <c r="H211" s="4">
        <f t="shared" si="64"/>
        <v>49053708.183191158</v>
      </c>
      <c r="I211" s="4">
        <f t="shared" si="65"/>
        <v>8759.5907469984213</v>
      </c>
      <c r="J211" s="4">
        <v>5597</v>
      </c>
      <c r="K211" s="5">
        <f t="shared" si="66"/>
        <v>5597</v>
      </c>
      <c r="L211" s="4">
        <v>7880</v>
      </c>
      <c r="M211" s="4">
        <f t="shared" si="62"/>
        <v>44130638.772240996</v>
      </c>
      <c r="N211" s="4">
        <f t="shared" si="67"/>
        <v>-4923069.4109501643</v>
      </c>
      <c r="O211" s="4">
        <f t="shared" si="68"/>
        <v>0</v>
      </c>
      <c r="P211" s="4">
        <f t="shared" si="69"/>
        <v>-4923069.4109501643</v>
      </c>
      <c r="T211" s="4">
        <f t="shared" si="70"/>
        <v>8759.5907469984213</v>
      </c>
      <c r="U211" s="4">
        <f t="shared" si="71"/>
        <v>-4923069.4109501643</v>
      </c>
      <c r="V211" s="4">
        <f t="shared" si="72"/>
        <v>0</v>
      </c>
      <c r="W211" s="4">
        <f t="shared" si="73"/>
        <v>-4923069.4109501643</v>
      </c>
      <c r="X211" s="5">
        <f t="shared" si="74"/>
        <v>44130638.772240996</v>
      </c>
      <c r="Y211" s="5">
        <f t="shared" si="75"/>
        <v>0</v>
      </c>
      <c r="Z211" s="5">
        <f t="shared" si="75"/>
        <v>0</v>
      </c>
      <c r="AB211" s="5">
        <f t="shared" si="63"/>
        <v>3</v>
      </c>
      <c r="AC211" s="4">
        <f t="shared" si="76"/>
        <v>26278.772240995262</v>
      </c>
      <c r="AD211" s="4">
        <f t="shared" si="77"/>
        <v>23640</v>
      </c>
      <c r="AE211" s="5">
        <f t="shared" si="78"/>
        <v>2638.7722409952621</v>
      </c>
      <c r="AF211" s="3" t="str">
        <f t="shared" si="79"/>
        <v>Y</v>
      </c>
      <c r="AH211" s="4">
        <f t="shared" si="80"/>
        <v>49027429.410950162</v>
      </c>
      <c r="AI211" s="4">
        <f t="shared" si="81"/>
        <v>44104360</v>
      </c>
    </row>
    <row r="212" spans="1:35">
      <c r="A212" s="3">
        <v>210</v>
      </c>
      <c r="B212" s="3" t="s">
        <v>876</v>
      </c>
      <c r="C212" s="3" t="s">
        <v>667</v>
      </c>
      <c r="D212" s="4">
        <v>19050</v>
      </c>
      <c r="E212" s="4">
        <v>203281895.831882</v>
      </c>
      <c r="F212" s="4">
        <v>0</v>
      </c>
      <c r="G212" s="4">
        <v>0</v>
      </c>
      <c r="H212" s="4">
        <f t="shared" si="64"/>
        <v>203281895.831882</v>
      </c>
      <c r="I212" s="4">
        <f t="shared" si="65"/>
        <v>10670.965660466247</v>
      </c>
      <c r="J212" s="4">
        <v>19041.099999999999</v>
      </c>
      <c r="K212" s="5">
        <f t="shared" si="66"/>
        <v>19041.099999999999</v>
      </c>
      <c r="L212" s="4">
        <v>13300</v>
      </c>
      <c r="M212" s="4">
        <f t="shared" si="62"/>
        <v>253341601.59437814</v>
      </c>
      <c r="N212" s="4">
        <f t="shared" si="67"/>
        <v>50059705.762496144</v>
      </c>
      <c r="O212" s="4">
        <f t="shared" si="68"/>
        <v>50059705.762496144</v>
      </c>
      <c r="P212" s="4">
        <f t="shared" si="69"/>
        <v>0</v>
      </c>
      <c r="T212" s="4">
        <f t="shared" si="70"/>
        <v>10670.965660466247</v>
      </c>
      <c r="U212" s="4">
        <f t="shared" si="71"/>
        <v>50059705.762496144</v>
      </c>
      <c r="V212" s="4">
        <f t="shared" si="72"/>
        <v>50059705.762496144</v>
      </c>
      <c r="W212" s="4">
        <f t="shared" si="73"/>
        <v>0</v>
      </c>
      <c r="X212" s="5">
        <f t="shared" si="74"/>
        <v>253341601.59437814</v>
      </c>
      <c r="Y212" s="5">
        <f t="shared" si="75"/>
        <v>0</v>
      </c>
      <c r="Z212" s="5">
        <f t="shared" si="75"/>
        <v>0</v>
      </c>
      <c r="AB212" s="5">
        <f t="shared" si="63"/>
        <v>8.9000000000014552</v>
      </c>
      <c r="AC212" s="4">
        <f t="shared" si="76"/>
        <v>94971.594378165129</v>
      </c>
      <c r="AD212" s="4">
        <f t="shared" si="77"/>
        <v>118370.00000001935</v>
      </c>
      <c r="AE212" s="5">
        <f t="shared" si="78"/>
        <v>-23398.405621854225</v>
      </c>
      <c r="AF212" s="3" t="str">
        <f t="shared" si="79"/>
        <v>N</v>
      </c>
      <c r="AH212" s="4">
        <f t="shared" si="80"/>
        <v>203186924.23750383</v>
      </c>
      <c r="AI212" s="4">
        <f t="shared" si="81"/>
        <v>253246629.99999997</v>
      </c>
    </row>
    <row r="213" spans="1:35">
      <c r="A213" s="3">
        <v>211</v>
      </c>
      <c r="B213" s="3" t="s">
        <v>877</v>
      </c>
      <c r="C213" s="3" t="s">
        <v>667</v>
      </c>
      <c r="D213" s="4">
        <v>800</v>
      </c>
      <c r="E213" s="4">
        <v>6559371.6742599122</v>
      </c>
      <c r="F213" s="4">
        <v>0</v>
      </c>
      <c r="G213" s="4">
        <v>0</v>
      </c>
      <c r="H213" s="4">
        <f t="shared" si="64"/>
        <v>6559371.6742599122</v>
      </c>
      <c r="I213" s="4">
        <f t="shared" si="65"/>
        <v>8199.2145928248901</v>
      </c>
      <c r="J213" s="4">
        <v>795</v>
      </c>
      <c r="K213" s="5">
        <f t="shared" si="66"/>
        <v>795</v>
      </c>
      <c r="L213" s="4">
        <v>7050</v>
      </c>
      <c r="M213" s="4">
        <f t="shared" si="62"/>
        <v>5645746.0729641244</v>
      </c>
      <c r="N213" s="4">
        <f t="shared" si="67"/>
        <v>-913625.60129578761</v>
      </c>
      <c r="O213" s="4">
        <f t="shared" si="68"/>
        <v>0</v>
      </c>
      <c r="P213" s="4">
        <f t="shared" si="69"/>
        <v>-913625.60129578761</v>
      </c>
      <c r="T213" s="4">
        <f t="shared" si="70"/>
        <v>8199.2145928248901</v>
      </c>
      <c r="U213" s="4">
        <f t="shared" si="71"/>
        <v>-913625.60129578761</v>
      </c>
      <c r="V213" s="4">
        <f t="shared" si="72"/>
        <v>0</v>
      </c>
      <c r="W213" s="4">
        <f t="shared" si="73"/>
        <v>-913625.60129578761</v>
      </c>
      <c r="X213" s="5">
        <f t="shared" si="74"/>
        <v>5645746.0729641244</v>
      </c>
      <c r="Y213" s="5">
        <f t="shared" si="75"/>
        <v>0</v>
      </c>
      <c r="Z213" s="5">
        <f t="shared" si="75"/>
        <v>0</v>
      </c>
      <c r="AB213" s="5">
        <f t="shared" si="63"/>
        <v>5</v>
      </c>
      <c r="AC213" s="4">
        <f t="shared" si="76"/>
        <v>40996.072964124454</v>
      </c>
      <c r="AD213" s="4">
        <f t="shared" si="77"/>
        <v>35250</v>
      </c>
      <c r="AE213" s="5">
        <f t="shared" si="78"/>
        <v>5746.0729641244543</v>
      </c>
      <c r="AF213" s="3" t="str">
        <f t="shared" si="79"/>
        <v>Y</v>
      </c>
      <c r="AH213" s="4">
        <f t="shared" si="80"/>
        <v>6518375.6012957878</v>
      </c>
      <c r="AI213" s="4">
        <f t="shared" si="81"/>
        <v>5604750</v>
      </c>
    </row>
    <row r="214" spans="1:35">
      <c r="A214" s="3">
        <v>212</v>
      </c>
      <c r="B214" s="3" t="s">
        <v>878</v>
      </c>
      <c r="C214" s="3" t="s">
        <v>667</v>
      </c>
      <c r="D214" s="4">
        <v>756</v>
      </c>
      <c r="E214" s="4">
        <v>18089696.975218289</v>
      </c>
      <c r="F214" s="4">
        <v>0</v>
      </c>
      <c r="G214" s="4">
        <v>0</v>
      </c>
      <c r="H214" s="4">
        <f t="shared" si="64"/>
        <v>18089696.975218289</v>
      </c>
      <c r="I214" s="4">
        <f t="shared" si="65"/>
        <v>23928.170602140592</v>
      </c>
      <c r="J214" s="4">
        <v>667.7</v>
      </c>
      <c r="K214" s="5">
        <f t="shared" si="66"/>
        <v>667.7</v>
      </c>
      <c r="L214" s="4">
        <v>24000</v>
      </c>
      <c r="M214" s="4">
        <f t="shared" si="62"/>
        <v>18137657.464169014</v>
      </c>
      <c r="N214" s="4">
        <f t="shared" si="67"/>
        <v>47960.488950726954</v>
      </c>
      <c r="O214" s="4">
        <f t="shared" si="68"/>
        <v>47960.488950726954</v>
      </c>
      <c r="P214" s="4">
        <f t="shared" si="69"/>
        <v>0</v>
      </c>
      <c r="T214" s="4">
        <f t="shared" si="70"/>
        <v>23928.170602140592</v>
      </c>
      <c r="U214" s="4">
        <f t="shared" si="71"/>
        <v>47960.488950726954</v>
      </c>
      <c r="V214" s="4">
        <f t="shared" si="72"/>
        <v>47960.488950726954</v>
      </c>
      <c r="W214" s="4">
        <f t="shared" si="73"/>
        <v>0</v>
      </c>
      <c r="X214" s="5">
        <f t="shared" si="74"/>
        <v>18137657.464169014</v>
      </c>
      <c r="Y214" s="5">
        <f t="shared" si="75"/>
        <v>0</v>
      </c>
      <c r="Z214" s="5">
        <f t="shared" si="75"/>
        <v>0</v>
      </c>
      <c r="AB214" s="5">
        <f t="shared" si="63"/>
        <v>88.299999999999955</v>
      </c>
      <c r="AC214" s="4">
        <f t="shared" si="76"/>
        <v>2112857.4641690133</v>
      </c>
      <c r="AD214" s="4">
        <f t="shared" si="77"/>
        <v>2119199.9999999991</v>
      </c>
      <c r="AE214" s="5">
        <f t="shared" si="78"/>
        <v>-6342.5358309857547</v>
      </c>
      <c r="AF214" s="3" t="str">
        <f t="shared" si="79"/>
        <v>N</v>
      </c>
      <c r="AH214" s="4">
        <f t="shared" si="80"/>
        <v>15976839.511049274</v>
      </c>
      <c r="AI214" s="4">
        <f t="shared" si="81"/>
        <v>16024800.000000002</v>
      </c>
    </row>
    <row r="215" spans="1:35">
      <c r="A215" s="3">
        <v>213</v>
      </c>
      <c r="B215" s="3" t="s">
        <v>879</v>
      </c>
      <c r="C215" s="3" t="s">
        <v>667</v>
      </c>
      <c r="D215" s="4">
        <v>1900</v>
      </c>
      <c r="E215" s="4">
        <v>22791049.004989922</v>
      </c>
      <c r="F215" s="4">
        <v>0</v>
      </c>
      <c r="G215" s="4">
        <v>0</v>
      </c>
      <c r="H215" s="4">
        <f t="shared" si="64"/>
        <v>22791049.004989922</v>
      </c>
      <c r="I215" s="4">
        <f t="shared" si="65"/>
        <v>11995.288949994696</v>
      </c>
      <c r="J215" s="4">
        <v>1803.8</v>
      </c>
      <c r="K215" s="5">
        <f t="shared" si="66"/>
        <v>1803.8</v>
      </c>
      <c r="L215" s="4">
        <v>17000</v>
      </c>
      <c r="M215" s="4">
        <f t="shared" si="62"/>
        <v>31818546.796989489</v>
      </c>
      <c r="N215" s="4">
        <f t="shared" si="67"/>
        <v>9027497.7919995673</v>
      </c>
      <c r="O215" s="4">
        <f t="shared" si="68"/>
        <v>9027497.7919995673</v>
      </c>
      <c r="P215" s="4">
        <f t="shared" si="69"/>
        <v>0</v>
      </c>
      <c r="T215" s="4">
        <f t="shared" si="70"/>
        <v>11995.288949994696</v>
      </c>
      <c r="U215" s="4">
        <f t="shared" si="71"/>
        <v>9027497.7919995673</v>
      </c>
      <c r="V215" s="4">
        <f t="shared" si="72"/>
        <v>9027497.7919995673</v>
      </c>
      <c r="W215" s="4">
        <f t="shared" si="73"/>
        <v>0</v>
      </c>
      <c r="X215" s="5">
        <f t="shared" si="74"/>
        <v>31818546.796989489</v>
      </c>
      <c r="Y215" s="5">
        <f t="shared" si="75"/>
        <v>0</v>
      </c>
      <c r="Z215" s="5">
        <f t="shared" si="75"/>
        <v>0</v>
      </c>
      <c r="AB215" s="5">
        <f t="shared" si="63"/>
        <v>96.200000000000045</v>
      </c>
      <c r="AC215" s="4">
        <f t="shared" si="76"/>
        <v>1153946.7969894903</v>
      </c>
      <c r="AD215" s="4">
        <f t="shared" si="77"/>
        <v>1635400.0000000007</v>
      </c>
      <c r="AE215" s="5">
        <f t="shared" si="78"/>
        <v>-481453.20301051042</v>
      </c>
      <c r="AF215" s="3" t="str">
        <f t="shared" si="79"/>
        <v>N</v>
      </c>
      <c r="AH215" s="4">
        <f t="shared" si="80"/>
        <v>21637102.208000433</v>
      </c>
      <c r="AI215" s="4">
        <f t="shared" si="81"/>
        <v>30664600</v>
      </c>
    </row>
    <row r="216" spans="1:35">
      <c r="A216" s="3">
        <v>214</v>
      </c>
      <c r="B216" s="3" t="s">
        <v>880</v>
      </c>
      <c r="C216" s="3" t="s">
        <v>667</v>
      </c>
      <c r="D216" s="4">
        <v>200</v>
      </c>
      <c r="E216" s="4">
        <v>6395784.3878636025</v>
      </c>
      <c r="F216" s="4">
        <v>0</v>
      </c>
      <c r="G216" s="4">
        <v>0</v>
      </c>
      <c r="H216" s="4">
        <f t="shared" si="64"/>
        <v>6395784.3878636025</v>
      </c>
      <c r="I216" s="4">
        <f t="shared" si="65"/>
        <v>31978.921939318014</v>
      </c>
      <c r="J216" s="4">
        <v>156.4</v>
      </c>
      <c r="K216" s="5">
        <f t="shared" si="66"/>
        <v>156.4</v>
      </c>
      <c r="L216" s="4">
        <v>24250</v>
      </c>
      <c r="M216" s="4">
        <f t="shared" si="62"/>
        <v>5186980.9965542648</v>
      </c>
      <c r="N216" s="4">
        <f t="shared" si="67"/>
        <v>-1208803.3913093375</v>
      </c>
      <c r="O216" s="4">
        <f t="shared" si="68"/>
        <v>0</v>
      </c>
      <c r="P216" s="4">
        <f t="shared" si="69"/>
        <v>-1208803.3913093375</v>
      </c>
      <c r="T216" s="4">
        <f t="shared" si="70"/>
        <v>31978.921939318014</v>
      </c>
      <c r="U216" s="4">
        <f t="shared" si="71"/>
        <v>-1208803.3913093375</v>
      </c>
      <c r="V216" s="4">
        <f t="shared" si="72"/>
        <v>0</v>
      </c>
      <c r="W216" s="4">
        <f t="shared" si="73"/>
        <v>-1208803.3913093375</v>
      </c>
      <c r="X216" s="5">
        <f t="shared" si="74"/>
        <v>5186980.9965542648</v>
      </c>
      <c r="Y216" s="5">
        <f t="shared" si="75"/>
        <v>0</v>
      </c>
      <c r="Z216" s="5">
        <f t="shared" si="75"/>
        <v>0</v>
      </c>
      <c r="AB216" s="5">
        <f t="shared" si="63"/>
        <v>43.599999999999994</v>
      </c>
      <c r="AC216" s="4">
        <f t="shared" si="76"/>
        <v>1394280.9965542653</v>
      </c>
      <c r="AD216" s="4">
        <f t="shared" si="77"/>
        <v>1057299.9999999998</v>
      </c>
      <c r="AE216" s="5">
        <f t="shared" si="78"/>
        <v>336980.9965542655</v>
      </c>
      <c r="AF216" s="3" t="str">
        <f t="shared" si="79"/>
        <v>Y</v>
      </c>
      <c r="AH216" s="4">
        <f t="shared" si="80"/>
        <v>5001503.3913093377</v>
      </c>
      <c r="AI216" s="4">
        <f t="shared" si="81"/>
        <v>3792700</v>
      </c>
    </row>
    <row r="217" spans="1:35">
      <c r="A217" s="3">
        <v>215</v>
      </c>
      <c r="B217" s="3" t="s">
        <v>881</v>
      </c>
      <c r="C217" s="3" t="s">
        <v>667</v>
      </c>
      <c r="D217" s="4">
        <v>5700</v>
      </c>
      <c r="E217" s="4">
        <v>99158784.828420401</v>
      </c>
      <c r="F217" s="4">
        <v>0</v>
      </c>
      <c r="G217" s="4">
        <v>0</v>
      </c>
      <c r="H217" s="4">
        <f t="shared" si="64"/>
        <v>99158784.828420401</v>
      </c>
      <c r="I217" s="4">
        <f t="shared" si="65"/>
        <v>17396.278040073754</v>
      </c>
      <c r="J217" s="4">
        <v>5626.3</v>
      </c>
      <c r="K217" s="5">
        <f t="shared" si="66"/>
        <v>5626.3</v>
      </c>
      <c r="L217" s="4">
        <v>20200</v>
      </c>
      <c r="M217" s="4">
        <f t="shared" si="62"/>
        <v>114933365.69155344</v>
      </c>
      <c r="N217" s="4">
        <f t="shared" si="67"/>
        <v>15774580.863133039</v>
      </c>
      <c r="O217" s="4">
        <f t="shared" si="68"/>
        <v>15774580.863133039</v>
      </c>
      <c r="P217" s="4">
        <f t="shared" si="69"/>
        <v>0</v>
      </c>
      <c r="T217" s="4">
        <f t="shared" si="70"/>
        <v>17396.278040073754</v>
      </c>
      <c r="U217" s="4">
        <f t="shared" si="71"/>
        <v>15774580.863133039</v>
      </c>
      <c r="V217" s="4">
        <f t="shared" si="72"/>
        <v>15774580.863133039</v>
      </c>
      <c r="W217" s="4">
        <f t="shared" si="73"/>
        <v>0</v>
      </c>
      <c r="X217" s="5">
        <f t="shared" si="74"/>
        <v>114933365.69155344</v>
      </c>
      <c r="Y217" s="5">
        <f t="shared" si="75"/>
        <v>0</v>
      </c>
      <c r="Z217" s="5">
        <f t="shared" si="75"/>
        <v>0</v>
      </c>
      <c r="AB217" s="5">
        <f t="shared" si="63"/>
        <v>73.699999999999818</v>
      </c>
      <c r="AC217" s="4">
        <f t="shared" si="76"/>
        <v>1282105.6915534325</v>
      </c>
      <c r="AD217" s="4">
        <f t="shared" si="77"/>
        <v>1488739.9999999963</v>
      </c>
      <c r="AE217" s="5">
        <f t="shared" si="78"/>
        <v>-206634.30844656378</v>
      </c>
      <c r="AF217" s="3" t="str">
        <f t="shared" si="79"/>
        <v>N</v>
      </c>
      <c r="AH217" s="4">
        <f t="shared" si="80"/>
        <v>97876679.136866957</v>
      </c>
      <c r="AI217" s="4">
        <f t="shared" si="81"/>
        <v>113651260</v>
      </c>
    </row>
    <row r="218" spans="1:35">
      <c r="A218" s="3">
        <v>216</v>
      </c>
      <c r="B218" s="3" t="s">
        <v>882</v>
      </c>
      <c r="C218" s="3" t="s">
        <v>667</v>
      </c>
      <c r="D218" s="4">
        <v>2340</v>
      </c>
      <c r="E218" s="4">
        <v>57611886.104358241</v>
      </c>
      <c r="F218" s="4">
        <v>0</v>
      </c>
      <c r="G218" s="4">
        <v>0</v>
      </c>
      <c r="H218" s="4">
        <f t="shared" si="64"/>
        <v>57611886.104358241</v>
      </c>
      <c r="I218" s="4">
        <f t="shared" si="65"/>
        <v>24620.464147161641</v>
      </c>
      <c r="J218" s="4">
        <v>2174.1</v>
      </c>
      <c r="K218" s="5">
        <f t="shared" si="66"/>
        <v>2174.1</v>
      </c>
      <c r="L218" s="4">
        <v>28800</v>
      </c>
      <c r="M218" s="4">
        <f t="shared" si="62"/>
        <v>66698615.002014115</v>
      </c>
      <c r="N218" s="4">
        <f t="shared" si="67"/>
        <v>9086728.8976558745</v>
      </c>
      <c r="O218" s="4">
        <f t="shared" si="68"/>
        <v>9086728.8976558745</v>
      </c>
      <c r="P218" s="4">
        <f t="shared" si="69"/>
        <v>0</v>
      </c>
      <c r="T218" s="4">
        <f t="shared" si="70"/>
        <v>24620.464147161641</v>
      </c>
      <c r="U218" s="4">
        <f t="shared" si="71"/>
        <v>9086728.8976558745</v>
      </c>
      <c r="V218" s="4">
        <f t="shared" si="72"/>
        <v>9086728.8976558745</v>
      </c>
      <c r="W218" s="4">
        <f t="shared" si="73"/>
        <v>0</v>
      </c>
      <c r="X218" s="5">
        <f t="shared" si="74"/>
        <v>66698615.002014115</v>
      </c>
      <c r="Y218" s="5">
        <f t="shared" si="75"/>
        <v>0</v>
      </c>
      <c r="Z218" s="5">
        <f t="shared" si="75"/>
        <v>0</v>
      </c>
      <c r="AB218" s="5">
        <f t="shared" si="63"/>
        <v>165.90000000000009</v>
      </c>
      <c r="AC218" s="4">
        <f t="shared" si="76"/>
        <v>4084535.0020141187</v>
      </c>
      <c r="AD218" s="4">
        <f t="shared" si="77"/>
        <v>4777920.0000000028</v>
      </c>
      <c r="AE218" s="5">
        <f t="shared" si="78"/>
        <v>-693384.99798588408</v>
      </c>
      <c r="AF218" s="3" t="str">
        <f t="shared" si="79"/>
        <v>N</v>
      </c>
      <c r="AH218" s="4">
        <f t="shared" si="80"/>
        <v>53527351.102344126</v>
      </c>
      <c r="AI218" s="4">
        <f t="shared" si="81"/>
        <v>62614080</v>
      </c>
    </row>
    <row r="219" spans="1:35">
      <c r="A219" s="3">
        <v>217</v>
      </c>
      <c r="B219" s="3" t="s">
        <v>226</v>
      </c>
      <c r="C219" s="3" t="s">
        <v>667</v>
      </c>
      <c r="D219" s="4">
        <v>2526</v>
      </c>
      <c r="E219" s="4">
        <v>33425628.367139008</v>
      </c>
      <c r="F219" s="4">
        <v>0</v>
      </c>
      <c r="G219" s="4">
        <v>0</v>
      </c>
      <c r="H219" s="4">
        <f t="shared" si="64"/>
        <v>33425628.367139008</v>
      </c>
      <c r="I219" s="4">
        <f t="shared" si="65"/>
        <v>13232.631974322647</v>
      </c>
      <c r="J219" s="4">
        <v>2420.6999999999998</v>
      </c>
      <c r="K219" s="5">
        <f t="shared" si="66"/>
        <v>2420.6999999999998</v>
      </c>
      <c r="L219" s="4">
        <v>27850</v>
      </c>
      <c r="M219" s="4">
        <f t="shared" si="62"/>
        <v>68809891.146896169</v>
      </c>
      <c r="N219" s="4">
        <f t="shared" si="67"/>
        <v>35384262.779757164</v>
      </c>
      <c r="O219" s="4">
        <f t="shared" si="68"/>
        <v>35384262.779757164</v>
      </c>
      <c r="P219" s="4">
        <f t="shared" si="69"/>
        <v>0</v>
      </c>
      <c r="T219" s="4">
        <f t="shared" si="70"/>
        <v>13232.631974322647</v>
      </c>
      <c r="U219" s="4">
        <f t="shared" si="71"/>
        <v>35384262.779757164</v>
      </c>
      <c r="V219" s="4">
        <f t="shared" si="72"/>
        <v>35384262.779757164</v>
      </c>
      <c r="W219" s="4">
        <f t="shared" si="73"/>
        <v>0</v>
      </c>
      <c r="X219" s="5">
        <f t="shared" si="74"/>
        <v>68809891.146896169</v>
      </c>
      <c r="Y219" s="5">
        <f t="shared" si="75"/>
        <v>0</v>
      </c>
      <c r="Z219" s="5">
        <f t="shared" si="75"/>
        <v>0</v>
      </c>
      <c r="AB219" s="5">
        <f t="shared" si="63"/>
        <v>105.30000000000018</v>
      </c>
      <c r="AC219" s="4">
        <f t="shared" si="76"/>
        <v>1393396.1468961772</v>
      </c>
      <c r="AD219" s="4">
        <f t="shared" si="77"/>
        <v>2932605.0000000051</v>
      </c>
      <c r="AE219" s="5">
        <f t="shared" si="78"/>
        <v>-1539208.8531038279</v>
      </c>
      <c r="AF219" s="3" t="str">
        <f t="shared" si="79"/>
        <v>N</v>
      </c>
      <c r="AH219" s="4">
        <f t="shared" si="80"/>
        <v>32032232.220242828</v>
      </c>
      <c r="AI219" s="4">
        <f t="shared" si="81"/>
        <v>67416495</v>
      </c>
    </row>
    <row r="220" spans="1:35">
      <c r="A220" s="3">
        <v>218</v>
      </c>
      <c r="B220" s="3" t="s">
        <v>883</v>
      </c>
      <c r="C220" s="3" t="s">
        <v>667</v>
      </c>
      <c r="D220" s="4">
        <v>6346</v>
      </c>
      <c r="E220" s="4">
        <v>126504663.40229568</v>
      </c>
      <c r="F220" s="4">
        <v>0</v>
      </c>
      <c r="G220" s="4">
        <v>0</v>
      </c>
      <c r="H220" s="4">
        <f t="shared" si="64"/>
        <v>126504663.40229568</v>
      </c>
      <c r="I220" s="4">
        <f t="shared" si="65"/>
        <v>19934.55143433591</v>
      </c>
      <c r="J220" s="4">
        <v>6311.9</v>
      </c>
      <c r="K220" s="5">
        <f t="shared" si="66"/>
        <v>6311.9</v>
      </c>
      <c r="L220" s="4">
        <v>27600</v>
      </c>
      <c r="M220" s="4">
        <f t="shared" si="62"/>
        <v>174888208.20391083</v>
      </c>
      <c r="N220" s="4">
        <f t="shared" si="67"/>
        <v>48383544.801615164</v>
      </c>
      <c r="O220" s="4">
        <f t="shared" si="68"/>
        <v>48383544.801615164</v>
      </c>
      <c r="P220" s="4">
        <f t="shared" si="69"/>
        <v>0</v>
      </c>
      <c r="T220" s="4">
        <f t="shared" si="70"/>
        <v>19934.55143433591</v>
      </c>
      <c r="U220" s="4">
        <f t="shared" si="71"/>
        <v>48383544.801615164</v>
      </c>
      <c r="V220" s="4">
        <f t="shared" si="72"/>
        <v>48383544.801615164</v>
      </c>
      <c r="W220" s="4">
        <f t="shared" si="73"/>
        <v>0</v>
      </c>
      <c r="X220" s="5">
        <f t="shared" si="74"/>
        <v>174888208.20391083</v>
      </c>
      <c r="Y220" s="5">
        <f t="shared" si="75"/>
        <v>0</v>
      </c>
      <c r="Z220" s="5">
        <f t="shared" si="75"/>
        <v>0</v>
      </c>
      <c r="AB220" s="5">
        <f t="shared" si="63"/>
        <v>34.100000000000364</v>
      </c>
      <c r="AC220" s="4">
        <f t="shared" si="76"/>
        <v>679768.20391086175</v>
      </c>
      <c r="AD220" s="4">
        <f t="shared" si="77"/>
        <v>941160.00000001001</v>
      </c>
      <c r="AE220" s="5">
        <f t="shared" si="78"/>
        <v>-261391.79608914827</v>
      </c>
      <c r="AF220" s="3" t="str">
        <f t="shared" si="79"/>
        <v>N</v>
      </c>
      <c r="AH220" s="4">
        <f t="shared" si="80"/>
        <v>125824895.19838482</v>
      </c>
      <c r="AI220" s="4">
        <f t="shared" si="81"/>
        <v>174208440</v>
      </c>
    </row>
    <row r="221" spans="1:35">
      <c r="A221" s="3">
        <v>219</v>
      </c>
      <c r="B221" s="3" t="s">
        <v>884</v>
      </c>
      <c r="C221" s="3" t="s">
        <v>667</v>
      </c>
      <c r="D221" s="4">
        <v>4000</v>
      </c>
      <c r="E221" s="4">
        <v>70045802.105338797</v>
      </c>
      <c r="F221" s="4">
        <v>0</v>
      </c>
      <c r="G221" s="4">
        <v>0</v>
      </c>
      <c r="H221" s="4">
        <f t="shared" si="64"/>
        <v>70045802.105338797</v>
      </c>
      <c r="I221" s="4">
        <f t="shared" si="65"/>
        <v>17511.450526334698</v>
      </c>
      <c r="J221" s="4">
        <v>3964</v>
      </c>
      <c r="K221" s="5">
        <f t="shared" si="66"/>
        <v>3964</v>
      </c>
      <c r="L221" s="4">
        <v>14750</v>
      </c>
      <c r="M221" s="4">
        <f t="shared" si="62"/>
        <v>59099412.218948051</v>
      </c>
      <c r="N221" s="4">
        <f t="shared" si="67"/>
        <v>-10946389.886390744</v>
      </c>
      <c r="O221" s="4">
        <f t="shared" si="68"/>
        <v>0</v>
      </c>
      <c r="P221" s="4">
        <f t="shared" si="69"/>
        <v>-10946389.886390744</v>
      </c>
      <c r="T221" s="4">
        <f t="shared" si="70"/>
        <v>17511.450526334698</v>
      </c>
      <c r="U221" s="4">
        <f t="shared" si="71"/>
        <v>-10946389.886390744</v>
      </c>
      <c r="V221" s="4">
        <f t="shared" si="72"/>
        <v>0</v>
      </c>
      <c r="W221" s="4">
        <f t="shared" si="73"/>
        <v>-10946389.886390744</v>
      </c>
      <c r="X221" s="5">
        <f t="shared" si="74"/>
        <v>59099412.218948051</v>
      </c>
      <c r="Y221" s="5">
        <f t="shared" si="75"/>
        <v>0</v>
      </c>
      <c r="Z221" s="5">
        <f t="shared" si="75"/>
        <v>0</v>
      </c>
      <c r="AB221" s="5">
        <f t="shared" si="63"/>
        <v>36</v>
      </c>
      <c r="AC221" s="4">
        <f t="shared" si="76"/>
        <v>630412.21894804912</v>
      </c>
      <c r="AD221" s="4">
        <f t="shared" si="77"/>
        <v>531000</v>
      </c>
      <c r="AE221" s="5">
        <f t="shared" si="78"/>
        <v>99412.218948049122</v>
      </c>
      <c r="AF221" s="3" t="str">
        <f t="shared" si="79"/>
        <v>Y</v>
      </c>
      <c r="AH221" s="4">
        <f t="shared" si="80"/>
        <v>69415389.886390746</v>
      </c>
      <c r="AI221" s="4">
        <f t="shared" si="81"/>
        <v>58469000</v>
      </c>
    </row>
    <row r="222" spans="1:35">
      <c r="A222" s="3">
        <v>220</v>
      </c>
      <c r="B222" s="3" t="s">
        <v>885</v>
      </c>
      <c r="C222" s="3" t="s">
        <v>667</v>
      </c>
      <c r="D222" s="4">
        <v>230</v>
      </c>
      <c r="E222" s="4">
        <v>6449912.8520923685</v>
      </c>
      <c r="F222" s="4">
        <v>0</v>
      </c>
      <c r="G222" s="4">
        <v>0</v>
      </c>
      <c r="H222" s="4">
        <f t="shared" si="64"/>
        <v>6449912.8520923685</v>
      </c>
      <c r="I222" s="4">
        <f t="shared" si="65"/>
        <v>28043.09935692334</v>
      </c>
      <c r="J222" s="4">
        <v>187.7</v>
      </c>
      <c r="K222" s="5">
        <f t="shared" si="66"/>
        <v>187.7</v>
      </c>
      <c r="L222" s="4">
        <v>38000</v>
      </c>
      <c r="M222" s="4">
        <f t="shared" si="62"/>
        <v>8318823.1027978575</v>
      </c>
      <c r="N222" s="4">
        <f t="shared" si="67"/>
        <v>1868910.250705489</v>
      </c>
      <c r="O222" s="4">
        <f t="shared" si="68"/>
        <v>1868910.250705489</v>
      </c>
      <c r="P222" s="4">
        <f t="shared" si="69"/>
        <v>0</v>
      </c>
      <c r="T222" s="4">
        <f t="shared" si="70"/>
        <v>28043.09935692334</v>
      </c>
      <c r="U222" s="4">
        <f t="shared" si="71"/>
        <v>1868910.250705489</v>
      </c>
      <c r="V222" s="4">
        <f t="shared" si="72"/>
        <v>1868910.250705489</v>
      </c>
      <c r="W222" s="4">
        <f t="shared" si="73"/>
        <v>0</v>
      </c>
      <c r="X222" s="5">
        <f t="shared" si="74"/>
        <v>8318823.1027978575</v>
      </c>
      <c r="Y222" s="5">
        <f t="shared" si="75"/>
        <v>0</v>
      </c>
      <c r="Z222" s="5">
        <f t="shared" si="75"/>
        <v>0</v>
      </c>
      <c r="AB222" s="5">
        <f t="shared" si="63"/>
        <v>42.300000000000011</v>
      </c>
      <c r="AC222" s="4">
        <f t="shared" si="76"/>
        <v>1186223.1027978575</v>
      </c>
      <c r="AD222" s="4">
        <f t="shared" si="77"/>
        <v>1607400.0000000005</v>
      </c>
      <c r="AE222" s="5">
        <f t="shared" si="78"/>
        <v>-421176.89720214298</v>
      </c>
      <c r="AF222" s="3" t="str">
        <f t="shared" si="79"/>
        <v>N</v>
      </c>
      <c r="AH222" s="4">
        <f t="shared" si="80"/>
        <v>5263689.7492945101</v>
      </c>
      <c r="AI222" s="4">
        <f t="shared" si="81"/>
        <v>7132600</v>
      </c>
    </row>
    <row r="223" spans="1:35">
      <c r="A223" s="3">
        <v>221</v>
      </c>
      <c r="B223" s="3" t="s">
        <v>886</v>
      </c>
      <c r="C223" s="3" t="s">
        <v>667</v>
      </c>
      <c r="D223" s="4">
        <v>400</v>
      </c>
      <c r="E223" s="4">
        <v>11297910.307492208</v>
      </c>
      <c r="F223" s="4">
        <v>0</v>
      </c>
      <c r="G223" s="4">
        <v>0</v>
      </c>
      <c r="H223" s="4">
        <f t="shared" si="64"/>
        <v>11297910.307492208</v>
      </c>
      <c r="I223" s="4">
        <f t="shared" si="65"/>
        <v>28244.77576873052</v>
      </c>
      <c r="J223" s="4">
        <v>360.5</v>
      </c>
      <c r="K223" s="5">
        <f t="shared" si="66"/>
        <v>360.5</v>
      </c>
      <c r="L223" s="4">
        <v>23700</v>
      </c>
      <c r="M223" s="4">
        <f t="shared" si="62"/>
        <v>9659518.642864855</v>
      </c>
      <c r="N223" s="4">
        <f t="shared" si="67"/>
        <v>-1638391.6646273525</v>
      </c>
      <c r="O223" s="4">
        <f t="shared" si="68"/>
        <v>0</v>
      </c>
      <c r="P223" s="4">
        <f t="shared" si="69"/>
        <v>-1638391.6646273525</v>
      </c>
      <c r="T223" s="4">
        <f t="shared" si="70"/>
        <v>28244.77576873052</v>
      </c>
      <c r="U223" s="4">
        <f t="shared" si="71"/>
        <v>-1638391.6646273525</v>
      </c>
      <c r="V223" s="4">
        <f t="shared" si="72"/>
        <v>0</v>
      </c>
      <c r="W223" s="4">
        <f t="shared" si="73"/>
        <v>-1638391.6646273525</v>
      </c>
      <c r="X223" s="5">
        <f t="shared" si="74"/>
        <v>9659518.642864855</v>
      </c>
      <c r="Y223" s="5">
        <f t="shared" si="75"/>
        <v>0</v>
      </c>
      <c r="Z223" s="5">
        <f t="shared" si="75"/>
        <v>0</v>
      </c>
      <c r="AB223" s="5">
        <f t="shared" si="63"/>
        <v>39.5</v>
      </c>
      <c r="AC223" s="4">
        <f t="shared" si="76"/>
        <v>1115668.6428648555</v>
      </c>
      <c r="AD223" s="4">
        <f t="shared" si="77"/>
        <v>936150</v>
      </c>
      <c r="AE223" s="5">
        <f t="shared" si="78"/>
        <v>179518.64286485547</v>
      </c>
      <c r="AF223" s="3" t="str">
        <f t="shared" si="79"/>
        <v>Y</v>
      </c>
      <c r="AH223" s="4">
        <f t="shared" si="80"/>
        <v>10182241.664627353</v>
      </c>
      <c r="AI223" s="4">
        <f t="shared" si="81"/>
        <v>8543850</v>
      </c>
    </row>
    <row r="224" spans="1:35">
      <c r="A224" s="3">
        <v>222</v>
      </c>
      <c r="B224" s="3" t="s">
        <v>887</v>
      </c>
      <c r="C224" s="3" t="s">
        <v>667</v>
      </c>
      <c r="D224" s="4">
        <v>500</v>
      </c>
      <c r="E224" s="4">
        <v>3258104.4822920971</v>
      </c>
      <c r="F224" s="4">
        <v>0</v>
      </c>
      <c r="G224" s="4">
        <v>0</v>
      </c>
      <c r="H224" s="4">
        <f t="shared" si="64"/>
        <v>3258104.4822920971</v>
      </c>
      <c r="I224" s="4">
        <f t="shared" si="65"/>
        <v>6516.2089645841943</v>
      </c>
      <c r="J224" s="4">
        <v>451.5</v>
      </c>
      <c r="K224" s="5">
        <f t="shared" si="66"/>
        <v>451.5</v>
      </c>
      <c r="L224" s="4">
        <v>6940</v>
      </c>
      <c r="M224" s="4">
        <f t="shared" si="62"/>
        <v>3449446.1347823334</v>
      </c>
      <c r="N224" s="4">
        <f t="shared" si="67"/>
        <v>191341.65249023627</v>
      </c>
      <c r="O224" s="4">
        <f t="shared" si="68"/>
        <v>191341.65249023627</v>
      </c>
      <c r="P224" s="4">
        <f t="shared" si="69"/>
        <v>0</v>
      </c>
      <c r="T224" s="4">
        <f t="shared" si="70"/>
        <v>6516.2089645841943</v>
      </c>
      <c r="U224" s="4">
        <f t="shared" si="71"/>
        <v>191341.65249023627</v>
      </c>
      <c r="V224" s="4">
        <f t="shared" si="72"/>
        <v>191341.65249023627</v>
      </c>
      <c r="W224" s="4">
        <f t="shared" si="73"/>
        <v>0</v>
      </c>
      <c r="X224" s="5">
        <f t="shared" si="74"/>
        <v>3449446.1347823334</v>
      </c>
      <c r="Y224" s="5">
        <f t="shared" si="75"/>
        <v>0</v>
      </c>
      <c r="Z224" s="5">
        <f t="shared" si="75"/>
        <v>0</v>
      </c>
      <c r="AB224" s="5">
        <f t="shared" si="63"/>
        <v>48.5</v>
      </c>
      <c r="AC224" s="4">
        <f t="shared" si="76"/>
        <v>316036.13478233345</v>
      </c>
      <c r="AD224" s="4">
        <f t="shared" si="77"/>
        <v>336590</v>
      </c>
      <c r="AE224" s="5">
        <f t="shared" si="78"/>
        <v>-20553.865217666549</v>
      </c>
      <c r="AF224" s="3" t="str">
        <f t="shared" si="79"/>
        <v>N</v>
      </c>
      <c r="AH224" s="4">
        <f t="shared" si="80"/>
        <v>2942068.3475097637</v>
      </c>
      <c r="AI224" s="4">
        <f t="shared" si="81"/>
        <v>3133410</v>
      </c>
    </row>
    <row r="225" spans="1:35">
      <c r="A225" s="3">
        <v>223</v>
      </c>
      <c r="B225" s="3" t="s">
        <v>888</v>
      </c>
      <c r="C225" s="3" t="s">
        <v>667</v>
      </c>
      <c r="D225" s="4">
        <v>1500</v>
      </c>
      <c r="E225" s="4">
        <v>63922527.97361514</v>
      </c>
      <c r="F225" s="4">
        <v>0</v>
      </c>
      <c r="G225" s="4">
        <v>0</v>
      </c>
      <c r="H225" s="4">
        <f t="shared" si="64"/>
        <v>63922527.97361514</v>
      </c>
      <c r="I225" s="4">
        <f t="shared" si="65"/>
        <v>42615.018649076759</v>
      </c>
      <c r="J225" s="4">
        <v>1422</v>
      </c>
      <c r="K225" s="5">
        <f t="shared" si="66"/>
        <v>1422</v>
      </c>
      <c r="L225" s="4">
        <v>49700</v>
      </c>
      <c r="M225" s="4">
        <f t="shared" si="62"/>
        <v>73997371.454627991</v>
      </c>
      <c r="N225" s="4">
        <f t="shared" si="67"/>
        <v>10074843.481012849</v>
      </c>
      <c r="O225" s="4">
        <f t="shared" si="68"/>
        <v>10074843.481012849</v>
      </c>
      <c r="P225" s="4">
        <f t="shared" si="69"/>
        <v>0</v>
      </c>
      <c r="T225" s="4">
        <f t="shared" si="70"/>
        <v>42615.018649076759</v>
      </c>
      <c r="U225" s="4">
        <f t="shared" si="71"/>
        <v>10074843.481012849</v>
      </c>
      <c r="V225" s="4">
        <f t="shared" si="72"/>
        <v>10074843.481012849</v>
      </c>
      <c r="W225" s="4">
        <f t="shared" si="73"/>
        <v>0</v>
      </c>
      <c r="X225" s="5">
        <f t="shared" si="74"/>
        <v>73997371.454627991</v>
      </c>
      <c r="Y225" s="5">
        <f t="shared" si="75"/>
        <v>0</v>
      </c>
      <c r="Z225" s="5">
        <f t="shared" si="75"/>
        <v>0</v>
      </c>
      <c r="AB225" s="5">
        <f t="shared" si="63"/>
        <v>78</v>
      </c>
      <c r="AC225" s="4">
        <f t="shared" si="76"/>
        <v>3323971.454627987</v>
      </c>
      <c r="AD225" s="4">
        <f t="shared" si="77"/>
        <v>3876600</v>
      </c>
      <c r="AE225" s="5">
        <f t="shared" si="78"/>
        <v>-552628.545372013</v>
      </c>
      <c r="AF225" s="3" t="str">
        <f t="shared" si="79"/>
        <v>N</v>
      </c>
      <c r="AH225" s="4">
        <f t="shared" si="80"/>
        <v>60598556.518987149</v>
      </c>
      <c r="AI225" s="4">
        <f t="shared" si="81"/>
        <v>70673400</v>
      </c>
    </row>
    <row r="226" spans="1:35">
      <c r="A226" s="3">
        <v>224</v>
      </c>
      <c r="B226" s="3" t="s">
        <v>889</v>
      </c>
      <c r="C226" s="3" t="s">
        <v>667</v>
      </c>
      <c r="D226" s="4">
        <v>14900</v>
      </c>
      <c r="E226" s="4">
        <v>79851638.321405455</v>
      </c>
      <c r="F226" s="4">
        <v>0</v>
      </c>
      <c r="G226" s="4">
        <v>0</v>
      </c>
      <c r="H226" s="4">
        <f t="shared" si="64"/>
        <v>79851638.321405455</v>
      </c>
      <c r="I226" s="4">
        <f t="shared" si="65"/>
        <v>5359.1703571413054</v>
      </c>
      <c r="J226" s="4">
        <v>14877</v>
      </c>
      <c r="K226" s="5">
        <f t="shared" si="66"/>
        <v>14877</v>
      </c>
      <c r="L226" s="4">
        <v>5800</v>
      </c>
      <c r="M226" s="4">
        <f t="shared" si="62"/>
        <v>86409860.918214262</v>
      </c>
      <c r="N226" s="4">
        <f t="shared" si="67"/>
        <v>6558222.5968087995</v>
      </c>
      <c r="O226" s="4">
        <f t="shared" si="68"/>
        <v>6558222.5968087995</v>
      </c>
      <c r="P226" s="4">
        <f t="shared" si="69"/>
        <v>0</v>
      </c>
      <c r="T226" s="4">
        <f t="shared" si="70"/>
        <v>5359.1703571413054</v>
      </c>
      <c r="U226" s="4">
        <f t="shared" si="71"/>
        <v>6558222.5968087995</v>
      </c>
      <c r="V226" s="4">
        <f t="shared" si="72"/>
        <v>6558222.5968087995</v>
      </c>
      <c r="W226" s="4">
        <f t="shared" si="73"/>
        <v>0</v>
      </c>
      <c r="X226" s="5">
        <f t="shared" si="74"/>
        <v>86409860.918214262</v>
      </c>
      <c r="Y226" s="5">
        <f t="shared" si="75"/>
        <v>0</v>
      </c>
      <c r="Z226" s="5">
        <f t="shared" si="75"/>
        <v>0</v>
      </c>
      <c r="AB226" s="5">
        <f t="shared" si="63"/>
        <v>23</v>
      </c>
      <c r="AC226" s="4">
        <f t="shared" si="76"/>
        <v>123260.91821425002</v>
      </c>
      <c r="AD226" s="4">
        <f t="shared" si="77"/>
        <v>133400</v>
      </c>
      <c r="AE226" s="5">
        <f t="shared" si="78"/>
        <v>-10139.081785749979</v>
      </c>
      <c r="AF226" s="3" t="str">
        <f t="shared" si="79"/>
        <v>N</v>
      </c>
      <c r="AH226" s="4">
        <f t="shared" si="80"/>
        <v>79728377.403191194</v>
      </c>
      <c r="AI226" s="4">
        <f t="shared" si="81"/>
        <v>86286600</v>
      </c>
    </row>
    <row r="227" spans="1:35">
      <c r="A227" s="3">
        <v>225</v>
      </c>
      <c r="B227" s="3" t="s">
        <v>890</v>
      </c>
      <c r="C227" s="3" t="s">
        <v>667</v>
      </c>
      <c r="D227" s="4">
        <v>3700</v>
      </c>
      <c r="E227" s="4">
        <v>39143711.55464682</v>
      </c>
      <c r="F227" s="4">
        <v>0</v>
      </c>
      <c r="G227" s="4">
        <v>0</v>
      </c>
      <c r="H227" s="4">
        <f t="shared" si="64"/>
        <v>39143711.55464682</v>
      </c>
      <c r="I227" s="4">
        <f t="shared" si="65"/>
        <v>10579.381501255897</v>
      </c>
      <c r="J227" s="4">
        <v>3600</v>
      </c>
      <c r="K227" s="5">
        <f t="shared" si="66"/>
        <v>3600</v>
      </c>
      <c r="L227" s="4">
        <v>10500</v>
      </c>
      <c r="M227" s="4">
        <f t="shared" si="62"/>
        <v>38857938.150125593</v>
      </c>
      <c r="N227" s="4">
        <f t="shared" si="67"/>
        <v>-285773.40452122956</v>
      </c>
      <c r="O227" s="4">
        <f t="shared" si="68"/>
        <v>0</v>
      </c>
      <c r="P227" s="4">
        <f t="shared" si="69"/>
        <v>-285773.40452122956</v>
      </c>
      <c r="T227" s="4">
        <f t="shared" si="70"/>
        <v>10579.381501255897</v>
      </c>
      <c r="U227" s="4">
        <f t="shared" si="71"/>
        <v>-285773.40452122956</v>
      </c>
      <c r="V227" s="4">
        <f t="shared" si="72"/>
        <v>0</v>
      </c>
      <c r="W227" s="4">
        <f t="shared" si="73"/>
        <v>-285773.40452122956</v>
      </c>
      <c r="X227" s="5">
        <f t="shared" si="74"/>
        <v>38857938.150125593</v>
      </c>
      <c r="Y227" s="5">
        <f t="shared" si="75"/>
        <v>0</v>
      </c>
      <c r="Z227" s="5">
        <f t="shared" si="75"/>
        <v>0</v>
      </c>
      <c r="AB227" s="5">
        <f t="shared" si="63"/>
        <v>100</v>
      </c>
      <c r="AC227" s="4">
        <f t="shared" si="76"/>
        <v>1057938.1501255897</v>
      </c>
      <c r="AD227" s="4">
        <f t="shared" si="77"/>
        <v>1050000</v>
      </c>
      <c r="AE227" s="5">
        <f t="shared" si="78"/>
        <v>7938.1501255896874</v>
      </c>
      <c r="AF227" s="3" t="str">
        <f t="shared" si="79"/>
        <v>Y</v>
      </c>
      <c r="AH227" s="4">
        <f t="shared" si="80"/>
        <v>38085773.404521227</v>
      </c>
      <c r="AI227" s="4">
        <f t="shared" si="81"/>
        <v>37800000</v>
      </c>
    </row>
    <row r="228" spans="1:35">
      <c r="A228" s="3">
        <v>226</v>
      </c>
      <c r="B228" s="3" t="s">
        <v>891</v>
      </c>
      <c r="C228" s="3" t="s">
        <v>667</v>
      </c>
      <c r="D228" s="4">
        <v>2400</v>
      </c>
      <c r="E228" s="4">
        <v>10583363.988407359</v>
      </c>
      <c r="F228" s="4">
        <v>0</v>
      </c>
      <c r="G228" s="4">
        <v>0</v>
      </c>
      <c r="H228" s="4">
        <f t="shared" si="64"/>
        <v>10583363.988407359</v>
      </c>
      <c r="I228" s="4">
        <f t="shared" si="65"/>
        <v>4409.7349951697324</v>
      </c>
      <c r="J228" s="4">
        <v>2311.6999999999998</v>
      </c>
      <c r="K228" s="5">
        <f t="shared" si="66"/>
        <v>2311.6999999999998</v>
      </c>
      <c r="L228" s="4">
        <v>4220</v>
      </c>
      <c r="M228" s="4">
        <f t="shared" si="62"/>
        <v>10144753.600073488</v>
      </c>
      <c r="N228" s="4">
        <f t="shared" si="67"/>
        <v>-438610.38833387045</v>
      </c>
      <c r="O228" s="4">
        <f t="shared" si="68"/>
        <v>0</v>
      </c>
      <c r="P228" s="4">
        <f t="shared" si="69"/>
        <v>-438610.38833387045</v>
      </c>
      <c r="T228" s="4">
        <f t="shared" si="70"/>
        <v>4409.7349951697324</v>
      </c>
      <c r="U228" s="4">
        <f t="shared" si="71"/>
        <v>-438610.38833387045</v>
      </c>
      <c r="V228" s="4">
        <f t="shared" si="72"/>
        <v>0</v>
      </c>
      <c r="W228" s="4">
        <f t="shared" si="73"/>
        <v>-438610.38833387045</v>
      </c>
      <c r="X228" s="5">
        <f t="shared" si="74"/>
        <v>10144753.600073488</v>
      </c>
      <c r="Y228" s="5">
        <f t="shared" si="75"/>
        <v>0</v>
      </c>
      <c r="Z228" s="5">
        <f t="shared" si="75"/>
        <v>0</v>
      </c>
      <c r="AB228" s="5">
        <f t="shared" si="63"/>
        <v>88.300000000000182</v>
      </c>
      <c r="AC228" s="4">
        <f t="shared" si="76"/>
        <v>389379.6000734882</v>
      </c>
      <c r="AD228" s="4">
        <f t="shared" si="77"/>
        <v>372626.00000000076</v>
      </c>
      <c r="AE228" s="5">
        <f t="shared" si="78"/>
        <v>16753.60007348744</v>
      </c>
      <c r="AF228" s="3" t="str">
        <f t="shared" si="79"/>
        <v>Y</v>
      </c>
      <c r="AH228" s="4">
        <f t="shared" si="80"/>
        <v>10193984.38833387</v>
      </c>
      <c r="AI228" s="4">
        <f t="shared" si="81"/>
        <v>9755374</v>
      </c>
    </row>
    <row r="229" spans="1:35">
      <c r="A229" s="3">
        <v>227</v>
      </c>
      <c r="B229" s="3" t="s">
        <v>892</v>
      </c>
      <c r="C229" s="3" t="s">
        <v>667</v>
      </c>
      <c r="D229" s="4">
        <v>23900</v>
      </c>
      <c r="E229" s="4">
        <v>877674415.18089223</v>
      </c>
      <c r="F229" s="4">
        <v>0</v>
      </c>
      <c r="G229" s="4">
        <v>0</v>
      </c>
      <c r="H229" s="4">
        <f t="shared" si="64"/>
        <v>877674415.18089223</v>
      </c>
      <c r="I229" s="4">
        <f t="shared" si="65"/>
        <v>36722.778877861601</v>
      </c>
      <c r="J229" s="4">
        <v>23822.5</v>
      </c>
      <c r="K229" s="5">
        <f t="shared" si="66"/>
        <v>23822.5</v>
      </c>
      <c r="L229" s="4">
        <v>34500</v>
      </c>
      <c r="M229" s="4">
        <f t="shared" si="62"/>
        <v>824722265.36303425</v>
      </c>
      <c r="N229" s="4">
        <f t="shared" si="67"/>
        <v>-52952149.817857996</v>
      </c>
      <c r="O229" s="4">
        <f t="shared" si="68"/>
        <v>0</v>
      </c>
      <c r="P229" s="4">
        <f t="shared" si="69"/>
        <v>-52952149.817857996</v>
      </c>
      <c r="T229" s="4">
        <f t="shared" si="70"/>
        <v>36722.778877861601</v>
      </c>
      <c r="U229" s="4">
        <f t="shared" si="71"/>
        <v>-52952149.817857996</v>
      </c>
      <c r="V229" s="4">
        <f t="shared" si="72"/>
        <v>0</v>
      </c>
      <c r="W229" s="4">
        <f t="shared" si="73"/>
        <v>-52952149.817857996</v>
      </c>
      <c r="X229" s="5">
        <f t="shared" si="74"/>
        <v>824722265.36303425</v>
      </c>
      <c r="Y229" s="5">
        <f t="shared" si="75"/>
        <v>0</v>
      </c>
      <c r="Z229" s="5">
        <f t="shared" si="75"/>
        <v>0</v>
      </c>
      <c r="AB229" s="5">
        <f t="shared" si="63"/>
        <v>77.5</v>
      </c>
      <c r="AC229" s="4">
        <f t="shared" si="76"/>
        <v>2846015.363034274</v>
      </c>
      <c r="AD229" s="4">
        <f t="shared" si="77"/>
        <v>2673750</v>
      </c>
      <c r="AE229" s="5">
        <f t="shared" si="78"/>
        <v>172265.36303427396</v>
      </c>
      <c r="AF229" s="3" t="str">
        <f t="shared" si="79"/>
        <v>Y</v>
      </c>
      <c r="AH229" s="4">
        <f t="shared" si="80"/>
        <v>874828399.81785798</v>
      </c>
      <c r="AI229" s="4">
        <f t="shared" si="81"/>
        <v>821876250</v>
      </c>
    </row>
    <row r="230" spans="1:35">
      <c r="A230" s="3">
        <v>228</v>
      </c>
      <c r="B230" s="3" t="s">
        <v>893</v>
      </c>
      <c r="C230" s="3" t="s">
        <v>667</v>
      </c>
      <c r="D230" s="4">
        <v>7766</v>
      </c>
      <c r="E230" s="4">
        <v>609311522.30707908</v>
      </c>
      <c r="F230" s="4">
        <v>0</v>
      </c>
      <c r="G230" s="4">
        <v>0</v>
      </c>
      <c r="H230" s="4">
        <f t="shared" si="64"/>
        <v>609311522.30707908</v>
      </c>
      <c r="I230" s="4">
        <f t="shared" si="65"/>
        <v>78458.862001941685</v>
      </c>
      <c r="J230" s="4">
        <v>7757.9</v>
      </c>
      <c r="K230" s="5">
        <f t="shared" si="66"/>
        <v>7757.9</v>
      </c>
      <c r="L230" s="4">
        <v>86000</v>
      </c>
      <c r="M230" s="4">
        <f t="shared" si="62"/>
        <v>667814916.78221571</v>
      </c>
      <c r="N230" s="4">
        <f t="shared" si="67"/>
        <v>58503394.4751366</v>
      </c>
      <c r="O230" s="4">
        <f t="shared" si="68"/>
        <v>58503394.4751366</v>
      </c>
      <c r="P230" s="4">
        <f t="shared" si="69"/>
        <v>0</v>
      </c>
      <c r="T230" s="4">
        <f t="shared" si="70"/>
        <v>78458.862001941685</v>
      </c>
      <c r="U230" s="4">
        <f t="shared" si="71"/>
        <v>58503394.4751366</v>
      </c>
      <c r="V230" s="4">
        <f t="shared" si="72"/>
        <v>58503394.4751366</v>
      </c>
      <c r="W230" s="4">
        <f t="shared" si="73"/>
        <v>0</v>
      </c>
      <c r="X230" s="5">
        <f t="shared" si="74"/>
        <v>667814916.78221571</v>
      </c>
      <c r="Y230" s="5">
        <f t="shared" si="75"/>
        <v>0</v>
      </c>
      <c r="Z230" s="5">
        <f t="shared" si="75"/>
        <v>0</v>
      </c>
      <c r="AB230" s="5">
        <f t="shared" si="63"/>
        <v>8.1000000000003638</v>
      </c>
      <c r="AC230" s="4">
        <f t="shared" si="76"/>
        <v>635516.78221575625</v>
      </c>
      <c r="AD230" s="4">
        <f t="shared" si="77"/>
        <v>696600.00000003132</v>
      </c>
      <c r="AE230" s="5">
        <f t="shared" si="78"/>
        <v>-61083.217784275068</v>
      </c>
      <c r="AF230" s="3" t="str">
        <f t="shared" si="79"/>
        <v>N</v>
      </c>
      <c r="AH230" s="4">
        <f t="shared" si="80"/>
        <v>608676005.52486336</v>
      </c>
      <c r="AI230" s="4">
        <f t="shared" si="81"/>
        <v>667179400</v>
      </c>
    </row>
    <row r="231" spans="1:35">
      <c r="A231" s="3">
        <v>229</v>
      </c>
      <c r="B231" s="3" t="s">
        <v>894</v>
      </c>
      <c r="C231" s="3" t="s">
        <v>667</v>
      </c>
      <c r="D231" s="4">
        <v>23200</v>
      </c>
      <c r="E231" s="4">
        <v>124045314.78454949</v>
      </c>
      <c r="F231" s="4">
        <v>0</v>
      </c>
      <c r="G231" s="4">
        <v>0</v>
      </c>
      <c r="H231" s="4">
        <f t="shared" si="64"/>
        <v>124045314.78454949</v>
      </c>
      <c r="I231" s="4">
        <f t="shared" si="65"/>
        <v>5346.7808096788576</v>
      </c>
      <c r="J231" s="4">
        <v>23181.3</v>
      </c>
      <c r="K231" s="5">
        <f t="shared" si="66"/>
        <v>23181.3</v>
      </c>
      <c r="L231" s="4">
        <v>5120</v>
      </c>
      <c r="M231" s="4">
        <f t="shared" si="62"/>
        <v>118788240.80114099</v>
      </c>
      <c r="N231" s="4">
        <f t="shared" si="67"/>
        <v>-5257073.9834085023</v>
      </c>
      <c r="O231" s="4">
        <f t="shared" si="68"/>
        <v>0</v>
      </c>
      <c r="P231" s="4">
        <f t="shared" si="69"/>
        <v>-5257073.9834085023</v>
      </c>
      <c r="T231" s="4">
        <f t="shared" si="70"/>
        <v>5346.7808096788576</v>
      </c>
      <c r="U231" s="4">
        <f t="shared" si="71"/>
        <v>-5257073.9834085023</v>
      </c>
      <c r="V231" s="4">
        <f t="shared" si="72"/>
        <v>0</v>
      </c>
      <c r="W231" s="4">
        <f t="shared" si="73"/>
        <v>-5257073.9834085023</v>
      </c>
      <c r="X231" s="5">
        <f t="shared" si="74"/>
        <v>118788240.80114099</v>
      </c>
      <c r="Y231" s="5">
        <f t="shared" si="75"/>
        <v>0</v>
      </c>
      <c r="Z231" s="5">
        <f t="shared" si="75"/>
        <v>0</v>
      </c>
      <c r="AB231" s="5">
        <f t="shared" si="63"/>
        <v>18.700000000000728</v>
      </c>
      <c r="AC231" s="4">
        <f t="shared" si="76"/>
        <v>99984.801140998534</v>
      </c>
      <c r="AD231" s="4">
        <f t="shared" si="77"/>
        <v>95744.000000003725</v>
      </c>
      <c r="AE231" s="5">
        <f t="shared" si="78"/>
        <v>4240.8011409948085</v>
      </c>
      <c r="AF231" s="3" t="str">
        <f t="shared" si="79"/>
        <v>Y</v>
      </c>
      <c r="AH231" s="4">
        <f t="shared" si="80"/>
        <v>123945329.9834085</v>
      </c>
      <c r="AI231" s="4">
        <f t="shared" si="81"/>
        <v>118688256</v>
      </c>
    </row>
    <row r="232" spans="1:35">
      <c r="A232" s="3">
        <v>230</v>
      </c>
      <c r="B232" s="3" t="s">
        <v>895</v>
      </c>
      <c r="C232" s="3" t="s">
        <v>667</v>
      </c>
      <c r="D232" s="4">
        <v>82500</v>
      </c>
      <c r="E232" s="4">
        <v>1041778929.0742311</v>
      </c>
      <c r="F232" s="4">
        <v>0</v>
      </c>
      <c r="G232" s="4">
        <v>0</v>
      </c>
      <c r="H232" s="4">
        <f t="shared" si="64"/>
        <v>1041778929.0742311</v>
      </c>
      <c r="I232" s="4">
        <f t="shared" si="65"/>
        <v>12627.623382717953</v>
      </c>
      <c r="J232" s="4">
        <v>83027</v>
      </c>
      <c r="K232" s="5">
        <f t="shared" si="66"/>
        <v>82500</v>
      </c>
      <c r="L232" s="4">
        <v>11250</v>
      </c>
      <c r="M232" s="4">
        <f t="shared" si="62"/>
        <v>928125000</v>
      </c>
      <c r="N232" s="4">
        <f t="shared" si="67"/>
        <v>-113653929.07423113</v>
      </c>
      <c r="O232" s="4">
        <f t="shared" si="68"/>
        <v>0</v>
      </c>
      <c r="P232" s="4">
        <f t="shared" si="69"/>
        <v>-113653929.07423113</v>
      </c>
      <c r="T232" s="4">
        <f t="shared" si="70"/>
        <v>12627.623382717953</v>
      </c>
      <c r="U232" s="4">
        <f t="shared" si="71"/>
        <v>-113653929.07423113</v>
      </c>
      <c r="V232" s="4">
        <f t="shared" si="72"/>
        <v>0</v>
      </c>
      <c r="W232" s="4">
        <f t="shared" si="73"/>
        <v>-113653929.07423113</v>
      </c>
      <c r="X232" s="5">
        <f t="shared" si="74"/>
        <v>928125000</v>
      </c>
      <c r="Y232" s="5">
        <f t="shared" si="75"/>
        <v>0</v>
      </c>
      <c r="Z232" s="5">
        <f t="shared" si="75"/>
        <v>0</v>
      </c>
      <c r="AB232" s="5">
        <f t="shared" si="63"/>
        <v>-527</v>
      </c>
      <c r="AC232" s="4">
        <f t="shared" si="76"/>
        <v>-6654757.5226923609</v>
      </c>
      <c r="AD232" s="4">
        <f t="shared" si="77"/>
        <v>-5928750</v>
      </c>
      <c r="AE232" s="5">
        <f t="shared" si="78"/>
        <v>0</v>
      </c>
      <c r="AF232" s="3" t="str">
        <f t="shared" si="79"/>
        <v>N</v>
      </c>
      <c r="AH232" s="4">
        <f t="shared" si="80"/>
        <v>1041778929.0742311</v>
      </c>
      <c r="AI232" s="4">
        <f t="shared" si="81"/>
        <v>928125000</v>
      </c>
    </row>
    <row r="233" spans="1:35">
      <c r="A233" s="3">
        <v>231</v>
      </c>
      <c r="B233" s="3" t="s">
        <v>896</v>
      </c>
      <c r="C233" s="3" t="s">
        <v>667</v>
      </c>
      <c r="D233" s="4">
        <v>700</v>
      </c>
      <c r="E233" s="4">
        <v>10651368.471378874</v>
      </c>
      <c r="F233" s="4">
        <v>0</v>
      </c>
      <c r="G233" s="4">
        <v>0</v>
      </c>
      <c r="H233" s="4">
        <f t="shared" si="64"/>
        <v>10651368.471378874</v>
      </c>
      <c r="I233" s="4">
        <f t="shared" si="65"/>
        <v>15216.240673398392</v>
      </c>
      <c r="J233" s="4">
        <v>689</v>
      </c>
      <c r="K233" s="5">
        <f t="shared" si="66"/>
        <v>689</v>
      </c>
      <c r="L233" s="4">
        <v>14750</v>
      </c>
      <c r="M233" s="4">
        <f t="shared" si="62"/>
        <v>10330128.647407383</v>
      </c>
      <c r="N233" s="4">
        <f t="shared" si="67"/>
        <v>-321239.82397149183</v>
      </c>
      <c r="O233" s="4">
        <f t="shared" si="68"/>
        <v>0</v>
      </c>
      <c r="P233" s="4">
        <f t="shared" si="69"/>
        <v>-321239.82397149183</v>
      </c>
      <c r="T233" s="4">
        <f t="shared" si="70"/>
        <v>15216.240673398392</v>
      </c>
      <c r="U233" s="4">
        <f t="shared" si="71"/>
        <v>-321239.82397149183</v>
      </c>
      <c r="V233" s="4">
        <f t="shared" si="72"/>
        <v>0</v>
      </c>
      <c r="W233" s="4">
        <f t="shared" si="73"/>
        <v>-321239.82397149183</v>
      </c>
      <c r="X233" s="5">
        <f t="shared" si="74"/>
        <v>10330128.647407383</v>
      </c>
      <c r="Y233" s="5">
        <f t="shared" si="75"/>
        <v>0</v>
      </c>
      <c r="Z233" s="5">
        <f t="shared" si="75"/>
        <v>0</v>
      </c>
      <c r="AB233" s="5">
        <f t="shared" si="63"/>
        <v>11</v>
      </c>
      <c r="AC233" s="4">
        <f t="shared" si="76"/>
        <v>167378.64740738232</v>
      </c>
      <c r="AD233" s="4">
        <f t="shared" si="77"/>
        <v>162250</v>
      </c>
      <c r="AE233" s="5">
        <f t="shared" si="78"/>
        <v>5128.6474073823192</v>
      </c>
      <c r="AF233" s="3" t="str">
        <f t="shared" si="79"/>
        <v>Y</v>
      </c>
      <c r="AH233" s="4">
        <f t="shared" si="80"/>
        <v>10483989.823971491</v>
      </c>
      <c r="AI233" s="4">
        <f t="shared" si="81"/>
        <v>10162750</v>
      </c>
    </row>
    <row r="234" spans="1:35">
      <c r="A234" s="3">
        <v>232</v>
      </c>
      <c r="B234" s="3" t="s">
        <v>897</v>
      </c>
      <c r="C234" s="3" t="s">
        <v>667</v>
      </c>
      <c r="D234" s="4">
        <v>2500</v>
      </c>
      <c r="E234" s="4">
        <v>18720684.348803163</v>
      </c>
      <c r="F234" s="4">
        <v>0</v>
      </c>
      <c r="G234" s="4">
        <v>0</v>
      </c>
      <c r="H234" s="4">
        <f t="shared" si="64"/>
        <v>18720684.348803163</v>
      </c>
      <c r="I234" s="4">
        <f t="shared" si="65"/>
        <v>7488.2737395212653</v>
      </c>
      <c r="J234" s="4">
        <v>2440.3000000000002</v>
      </c>
      <c r="K234" s="5">
        <f t="shared" si="66"/>
        <v>2440.3000000000002</v>
      </c>
      <c r="L234" s="4">
        <v>10300</v>
      </c>
      <c r="M234" s="4">
        <f t="shared" si="62"/>
        <v>25582139.942249417</v>
      </c>
      <c r="N234" s="4">
        <f t="shared" si="67"/>
        <v>6861455.5934462566</v>
      </c>
      <c r="O234" s="4">
        <f t="shared" si="68"/>
        <v>6861455.5934462566</v>
      </c>
      <c r="P234" s="4">
        <f t="shared" si="69"/>
        <v>0</v>
      </c>
      <c r="T234" s="4">
        <f t="shared" si="70"/>
        <v>7488.2737395212653</v>
      </c>
      <c r="U234" s="4">
        <f t="shared" si="71"/>
        <v>6861455.5934462566</v>
      </c>
      <c r="V234" s="4">
        <f t="shared" si="72"/>
        <v>6861455.5934462566</v>
      </c>
      <c r="W234" s="4">
        <f t="shared" si="73"/>
        <v>0</v>
      </c>
      <c r="X234" s="5">
        <f t="shared" si="74"/>
        <v>25582139.942249417</v>
      </c>
      <c r="Y234" s="5">
        <f t="shared" si="75"/>
        <v>0</v>
      </c>
      <c r="Z234" s="5">
        <f t="shared" si="75"/>
        <v>0</v>
      </c>
      <c r="AB234" s="5">
        <f t="shared" si="63"/>
        <v>59.699999999999818</v>
      </c>
      <c r="AC234" s="4">
        <f t="shared" si="76"/>
        <v>447049.94224941818</v>
      </c>
      <c r="AD234" s="4">
        <f t="shared" si="77"/>
        <v>614909.99999999814</v>
      </c>
      <c r="AE234" s="5">
        <f t="shared" si="78"/>
        <v>-167860.05775057996</v>
      </c>
      <c r="AF234" s="3" t="str">
        <f t="shared" si="79"/>
        <v>N</v>
      </c>
      <c r="AH234" s="4">
        <f t="shared" si="80"/>
        <v>18273634.406553745</v>
      </c>
      <c r="AI234" s="4">
        <f t="shared" si="81"/>
        <v>25135090.000000004</v>
      </c>
    </row>
    <row r="235" spans="1:35">
      <c r="A235" s="3">
        <v>233</v>
      </c>
      <c r="B235" s="3" t="s">
        <v>898</v>
      </c>
      <c r="C235" s="3" t="s">
        <v>667</v>
      </c>
      <c r="D235" s="4">
        <v>1000</v>
      </c>
      <c r="E235" s="4">
        <v>48362589.86248222</v>
      </c>
      <c r="F235" s="4">
        <v>0</v>
      </c>
      <c r="G235" s="4">
        <v>0</v>
      </c>
      <c r="H235" s="4">
        <f t="shared" si="64"/>
        <v>48362589.86248222</v>
      </c>
      <c r="I235" s="4">
        <f t="shared" si="65"/>
        <v>48362.589862482222</v>
      </c>
      <c r="J235" s="4">
        <v>909.4</v>
      </c>
      <c r="K235" s="5">
        <f t="shared" si="66"/>
        <v>909.4</v>
      </c>
      <c r="L235" s="4">
        <v>59000</v>
      </c>
      <c r="M235" s="4">
        <f t="shared" si="62"/>
        <v>58036250.641540885</v>
      </c>
      <c r="N235" s="4">
        <f t="shared" si="67"/>
        <v>9673660.7790586669</v>
      </c>
      <c r="O235" s="4">
        <f t="shared" si="68"/>
        <v>9673660.7790586669</v>
      </c>
      <c r="P235" s="4">
        <f t="shared" si="69"/>
        <v>0</v>
      </c>
      <c r="T235" s="4">
        <f t="shared" si="70"/>
        <v>48362.589862482222</v>
      </c>
      <c r="U235" s="4">
        <f t="shared" si="71"/>
        <v>9673660.7790586669</v>
      </c>
      <c r="V235" s="4">
        <f t="shared" si="72"/>
        <v>9673660.7790586669</v>
      </c>
      <c r="W235" s="4">
        <f t="shared" si="73"/>
        <v>0</v>
      </c>
      <c r="X235" s="5">
        <f t="shared" si="74"/>
        <v>58036250.641540885</v>
      </c>
      <c r="Y235" s="5">
        <f t="shared" si="75"/>
        <v>0</v>
      </c>
      <c r="Z235" s="5">
        <f t="shared" si="75"/>
        <v>0</v>
      </c>
      <c r="AB235" s="5">
        <f t="shared" si="63"/>
        <v>90.600000000000023</v>
      </c>
      <c r="AC235" s="4">
        <f t="shared" si="76"/>
        <v>4381650.6415408906</v>
      </c>
      <c r="AD235" s="4">
        <f t="shared" si="77"/>
        <v>5345400.0000000009</v>
      </c>
      <c r="AE235" s="5">
        <f t="shared" si="78"/>
        <v>-963749.35845911037</v>
      </c>
      <c r="AF235" s="3" t="str">
        <f t="shared" si="79"/>
        <v>N</v>
      </c>
      <c r="AH235" s="4">
        <f t="shared" si="80"/>
        <v>43980939.220941335</v>
      </c>
      <c r="AI235" s="4">
        <f t="shared" si="81"/>
        <v>53654600</v>
      </c>
    </row>
    <row r="236" spans="1:35">
      <c r="A236" s="3">
        <v>234</v>
      </c>
      <c r="B236" s="3" t="s">
        <v>899</v>
      </c>
      <c r="C236" s="3" t="s">
        <v>667</v>
      </c>
      <c r="D236" s="4">
        <v>10520</v>
      </c>
      <c r="E236" s="4">
        <v>84526713.954668567</v>
      </c>
      <c r="F236" s="4">
        <v>0</v>
      </c>
      <c r="G236" s="4">
        <v>0</v>
      </c>
      <c r="H236" s="4">
        <f t="shared" si="64"/>
        <v>84526713.954668567</v>
      </c>
      <c r="I236" s="4">
        <f t="shared" si="65"/>
        <v>8034.8587409380771</v>
      </c>
      <c r="J236" s="4">
        <v>11527.2</v>
      </c>
      <c r="K236" s="5">
        <f t="shared" si="66"/>
        <v>10520</v>
      </c>
      <c r="L236" s="4">
        <v>6020</v>
      </c>
      <c r="M236" s="4">
        <f t="shared" si="62"/>
        <v>63330400</v>
      </c>
      <c r="N236" s="4">
        <f t="shared" si="67"/>
        <v>-21196313.95466857</v>
      </c>
      <c r="O236" s="4">
        <f t="shared" si="68"/>
        <v>0</v>
      </c>
      <c r="P236" s="4">
        <f t="shared" si="69"/>
        <v>-21196313.95466857</v>
      </c>
      <c r="T236" s="4">
        <f t="shared" si="70"/>
        <v>8034.8587409380771</v>
      </c>
      <c r="U236" s="4">
        <f t="shared" si="71"/>
        <v>-21196313.95466857</v>
      </c>
      <c r="V236" s="4">
        <f t="shared" si="72"/>
        <v>0</v>
      </c>
      <c r="W236" s="4">
        <f t="shared" si="73"/>
        <v>-21196313.95466857</v>
      </c>
      <c r="X236" s="5">
        <f t="shared" si="74"/>
        <v>63330400</v>
      </c>
      <c r="Y236" s="5">
        <f t="shared" si="75"/>
        <v>0</v>
      </c>
      <c r="Z236" s="5">
        <f t="shared" si="75"/>
        <v>0</v>
      </c>
      <c r="AB236" s="5">
        <f t="shared" si="63"/>
        <v>-1007.2000000000007</v>
      </c>
      <c r="AC236" s="4">
        <f t="shared" si="76"/>
        <v>-8092709.7238728367</v>
      </c>
      <c r="AD236" s="4">
        <f t="shared" si="77"/>
        <v>-6063344.0000000047</v>
      </c>
      <c r="AE236" s="5">
        <f t="shared" si="78"/>
        <v>0</v>
      </c>
      <c r="AF236" s="3" t="str">
        <f t="shared" si="79"/>
        <v>N</v>
      </c>
      <c r="AH236" s="4">
        <f t="shared" si="80"/>
        <v>84526713.954668567</v>
      </c>
      <c r="AI236" s="4">
        <f t="shared" si="81"/>
        <v>63330400</v>
      </c>
    </row>
    <row r="237" spans="1:35">
      <c r="A237" s="3">
        <v>235</v>
      </c>
      <c r="B237" s="3" t="s">
        <v>900</v>
      </c>
      <c r="C237" s="3" t="s">
        <v>667</v>
      </c>
      <c r="D237" s="4">
        <v>6600</v>
      </c>
      <c r="E237" s="4">
        <v>28151024.254434358</v>
      </c>
      <c r="F237" s="4">
        <v>0</v>
      </c>
      <c r="G237" s="4">
        <v>0</v>
      </c>
      <c r="H237" s="4">
        <f t="shared" si="64"/>
        <v>28151024.254434358</v>
      </c>
      <c r="I237" s="4">
        <f t="shared" si="65"/>
        <v>4265.3067052173274</v>
      </c>
      <c r="J237" s="4">
        <v>6555.8</v>
      </c>
      <c r="K237" s="5">
        <f t="shared" si="66"/>
        <v>6555.8</v>
      </c>
      <c r="L237" s="4">
        <v>4030.0000000000005</v>
      </c>
      <c r="M237" s="4">
        <f t="shared" si="62"/>
        <v>26608400.556370609</v>
      </c>
      <c r="N237" s="4">
        <f t="shared" si="67"/>
        <v>-1542623.6980637517</v>
      </c>
      <c r="O237" s="4">
        <f t="shared" si="68"/>
        <v>0</v>
      </c>
      <c r="P237" s="4">
        <f t="shared" si="69"/>
        <v>-1542623.6980637517</v>
      </c>
      <c r="T237" s="4">
        <f t="shared" si="70"/>
        <v>4265.3067052173274</v>
      </c>
      <c r="U237" s="4">
        <f t="shared" si="71"/>
        <v>-1542623.6980637517</v>
      </c>
      <c r="V237" s="4">
        <f t="shared" si="72"/>
        <v>0</v>
      </c>
      <c r="W237" s="4">
        <f t="shared" si="73"/>
        <v>-1542623.6980637517</v>
      </c>
      <c r="X237" s="5">
        <f t="shared" si="74"/>
        <v>26608400.556370609</v>
      </c>
      <c r="Y237" s="5">
        <f t="shared" si="75"/>
        <v>0</v>
      </c>
      <c r="Z237" s="5">
        <f t="shared" si="75"/>
        <v>0</v>
      </c>
      <c r="AB237" s="5">
        <f t="shared" si="63"/>
        <v>44.199999999999818</v>
      </c>
      <c r="AC237" s="4">
        <f t="shared" si="76"/>
        <v>188526.5563706051</v>
      </c>
      <c r="AD237" s="4">
        <f t="shared" si="77"/>
        <v>178125.9999999993</v>
      </c>
      <c r="AE237" s="5">
        <f t="shared" si="78"/>
        <v>10400.556370605802</v>
      </c>
      <c r="AF237" s="3" t="str">
        <f t="shared" si="79"/>
        <v>Y</v>
      </c>
      <c r="AH237" s="4">
        <f t="shared" si="80"/>
        <v>27962497.698063757</v>
      </c>
      <c r="AI237" s="4">
        <f t="shared" si="81"/>
        <v>26419874.000000004</v>
      </c>
    </row>
    <row r="238" spans="1:35">
      <c r="A238" s="3">
        <v>236</v>
      </c>
      <c r="B238" s="3" t="s">
        <v>901</v>
      </c>
      <c r="C238" s="3" t="s">
        <v>667</v>
      </c>
      <c r="D238" s="4">
        <v>4846</v>
      </c>
      <c r="E238" s="4">
        <v>101262848.06104204</v>
      </c>
      <c r="F238" s="4">
        <v>0</v>
      </c>
      <c r="G238" s="4">
        <v>0</v>
      </c>
      <c r="H238" s="4">
        <f t="shared" si="64"/>
        <v>101262848.06104204</v>
      </c>
      <c r="I238" s="4">
        <f t="shared" si="65"/>
        <v>20896.17170058647</v>
      </c>
      <c r="J238" s="4">
        <v>4781</v>
      </c>
      <c r="K238" s="5">
        <f t="shared" si="66"/>
        <v>4781</v>
      </c>
      <c r="L238" s="4">
        <v>28300</v>
      </c>
      <c r="M238" s="4">
        <f t="shared" si="62"/>
        <v>136660551.16053814</v>
      </c>
      <c r="N238" s="4">
        <f t="shared" si="67"/>
        <v>35397703.099496089</v>
      </c>
      <c r="O238" s="4">
        <f t="shared" si="68"/>
        <v>35397703.099496089</v>
      </c>
      <c r="P238" s="4">
        <f t="shared" si="69"/>
        <v>0</v>
      </c>
      <c r="T238" s="4">
        <f t="shared" si="70"/>
        <v>20896.17170058647</v>
      </c>
      <c r="U238" s="4">
        <f t="shared" si="71"/>
        <v>35397703.099496089</v>
      </c>
      <c r="V238" s="4">
        <f t="shared" si="72"/>
        <v>35397703.099496089</v>
      </c>
      <c r="W238" s="4">
        <f t="shared" si="73"/>
        <v>0</v>
      </c>
      <c r="X238" s="5">
        <f t="shared" si="74"/>
        <v>136660551.16053814</v>
      </c>
      <c r="Y238" s="5">
        <f t="shared" si="75"/>
        <v>0</v>
      </c>
      <c r="Z238" s="5">
        <f t="shared" si="75"/>
        <v>0</v>
      </c>
      <c r="AB238" s="5">
        <f t="shared" si="63"/>
        <v>65</v>
      </c>
      <c r="AC238" s="4">
        <f t="shared" si="76"/>
        <v>1358251.1605381207</v>
      </c>
      <c r="AD238" s="4">
        <f t="shared" si="77"/>
        <v>1839500</v>
      </c>
      <c r="AE238" s="5">
        <f t="shared" si="78"/>
        <v>-481248.83946187934</v>
      </c>
      <c r="AF238" s="3" t="str">
        <f t="shared" si="79"/>
        <v>N</v>
      </c>
      <c r="AH238" s="4">
        <f t="shared" si="80"/>
        <v>99904596.900503919</v>
      </c>
      <c r="AI238" s="4">
        <f t="shared" si="81"/>
        <v>135302300</v>
      </c>
    </row>
    <row r="239" spans="1:35">
      <c r="A239" s="3">
        <v>237</v>
      </c>
      <c r="B239" s="3" t="s">
        <v>902</v>
      </c>
      <c r="C239" s="3" t="s">
        <v>667</v>
      </c>
      <c r="D239" s="4">
        <v>2100</v>
      </c>
      <c r="E239" s="4">
        <v>43154672.983630501</v>
      </c>
      <c r="F239" s="4">
        <v>0</v>
      </c>
      <c r="G239" s="4">
        <v>0</v>
      </c>
      <c r="H239" s="4">
        <f t="shared" si="64"/>
        <v>43154672.983630501</v>
      </c>
      <c r="I239" s="4">
        <f t="shared" si="65"/>
        <v>20549.844277919285</v>
      </c>
      <c r="J239" s="4">
        <v>2072.5</v>
      </c>
      <c r="K239" s="5">
        <f t="shared" si="66"/>
        <v>2072.5</v>
      </c>
      <c r="L239" s="4">
        <v>26400</v>
      </c>
      <c r="M239" s="4">
        <f t="shared" si="62"/>
        <v>55279120.717642784</v>
      </c>
      <c r="N239" s="4">
        <f t="shared" si="67"/>
        <v>12124447.734012283</v>
      </c>
      <c r="O239" s="4">
        <f t="shared" si="68"/>
        <v>12124447.734012283</v>
      </c>
      <c r="P239" s="4">
        <f t="shared" si="69"/>
        <v>0</v>
      </c>
      <c r="T239" s="4">
        <f t="shared" si="70"/>
        <v>20549.844277919285</v>
      </c>
      <c r="U239" s="4">
        <f t="shared" si="71"/>
        <v>12124447.734012283</v>
      </c>
      <c r="V239" s="4">
        <f t="shared" si="72"/>
        <v>12124447.734012283</v>
      </c>
      <c r="W239" s="4">
        <f t="shared" si="73"/>
        <v>0</v>
      </c>
      <c r="X239" s="5">
        <f t="shared" si="74"/>
        <v>55279120.717642784</v>
      </c>
      <c r="Y239" s="5">
        <f t="shared" si="75"/>
        <v>0</v>
      </c>
      <c r="Z239" s="5">
        <f t="shared" si="75"/>
        <v>0</v>
      </c>
      <c r="AB239" s="5">
        <f t="shared" si="63"/>
        <v>27.5</v>
      </c>
      <c r="AC239" s="4">
        <f t="shared" si="76"/>
        <v>565120.71764278028</v>
      </c>
      <c r="AD239" s="4">
        <f t="shared" si="77"/>
        <v>726000</v>
      </c>
      <c r="AE239" s="5">
        <f t="shared" si="78"/>
        <v>-160879.28235721972</v>
      </c>
      <c r="AF239" s="3" t="str">
        <f t="shared" si="79"/>
        <v>N</v>
      </c>
      <c r="AH239" s="4">
        <f t="shared" si="80"/>
        <v>42589552.265987717</v>
      </c>
      <c r="AI239" s="4">
        <f t="shared" si="81"/>
        <v>54714000</v>
      </c>
    </row>
    <row r="240" spans="1:35">
      <c r="A240" s="3">
        <v>238</v>
      </c>
      <c r="B240" s="3" t="s">
        <v>903</v>
      </c>
      <c r="C240" s="3" t="s">
        <v>667</v>
      </c>
      <c r="D240" s="4">
        <v>13200</v>
      </c>
      <c r="E240" s="4">
        <v>75414901.944450855</v>
      </c>
      <c r="F240" s="4">
        <v>0</v>
      </c>
      <c r="G240" s="4">
        <v>0</v>
      </c>
      <c r="H240" s="4">
        <f t="shared" si="64"/>
        <v>75414901.944450855</v>
      </c>
      <c r="I240" s="4">
        <f t="shared" si="65"/>
        <v>5713.2501473068833</v>
      </c>
      <c r="J240" s="4">
        <v>13170.1</v>
      </c>
      <c r="K240" s="5">
        <f t="shared" si="66"/>
        <v>13170.1</v>
      </c>
      <c r="L240" s="4">
        <v>2700</v>
      </c>
      <c r="M240" s="4">
        <f t="shared" si="62"/>
        <v>35730096.179404467</v>
      </c>
      <c r="N240" s="4">
        <f t="shared" si="67"/>
        <v>-39684805.765046388</v>
      </c>
      <c r="O240" s="4">
        <f t="shared" si="68"/>
        <v>0</v>
      </c>
      <c r="P240" s="4">
        <f t="shared" si="69"/>
        <v>-39684805.765046388</v>
      </c>
      <c r="T240" s="4">
        <f t="shared" si="70"/>
        <v>5713.2501473068833</v>
      </c>
      <c r="U240" s="4">
        <f t="shared" si="71"/>
        <v>-39684805.765046388</v>
      </c>
      <c r="V240" s="4">
        <f t="shared" si="72"/>
        <v>0</v>
      </c>
      <c r="W240" s="4">
        <f t="shared" si="73"/>
        <v>-39684805.765046388</v>
      </c>
      <c r="X240" s="5">
        <f t="shared" si="74"/>
        <v>35730096.179404467</v>
      </c>
      <c r="Y240" s="5">
        <f t="shared" si="75"/>
        <v>0</v>
      </c>
      <c r="Z240" s="5">
        <f t="shared" si="75"/>
        <v>0</v>
      </c>
      <c r="AB240" s="5">
        <f t="shared" si="63"/>
        <v>29.899999999999636</v>
      </c>
      <c r="AC240" s="4">
        <f t="shared" si="76"/>
        <v>170826.17940447372</v>
      </c>
      <c r="AD240" s="4">
        <f t="shared" si="77"/>
        <v>80729.99999999901</v>
      </c>
      <c r="AE240" s="5">
        <f t="shared" si="78"/>
        <v>90096.179404474708</v>
      </c>
      <c r="AF240" s="3" t="str">
        <f t="shared" si="79"/>
        <v>Y</v>
      </c>
      <c r="AH240" s="4">
        <f t="shared" si="80"/>
        <v>75244075.765046388</v>
      </c>
      <c r="AI240" s="4">
        <f t="shared" si="81"/>
        <v>35559270</v>
      </c>
    </row>
    <row r="241" spans="1:35">
      <c r="A241" s="3">
        <v>239</v>
      </c>
      <c r="B241" s="3" t="s">
        <v>904</v>
      </c>
      <c r="C241" s="3" t="s">
        <v>667</v>
      </c>
      <c r="D241" s="4">
        <v>3700</v>
      </c>
      <c r="E241" s="4">
        <v>28424395.878046028</v>
      </c>
      <c r="F241" s="4">
        <v>0</v>
      </c>
      <c r="G241" s="4">
        <v>0</v>
      </c>
      <c r="H241" s="4">
        <f t="shared" si="64"/>
        <v>28424395.878046028</v>
      </c>
      <c r="I241" s="4">
        <f t="shared" si="65"/>
        <v>7682.2691562286564</v>
      </c>
      <c r="J241" s="4">
        <v>3673.4</v>
      </c>
      <c r="K241" s="5">
        <f t="shared" si="66"/>
        <v>3673.4</v>
      </c>
      <c r="L241" s="4">
        <v>4500</v>
      </c>
      <c r="M241" s="4">
        <f t="shared" si="62"/>
        <v>16734648.359555682</v>
      </c>
      <c r="N241" s="4">
        <f t="shared" si="67"/>
        <v>-11689747.518490346</v>
      </c>
      <c r="O241" s="4">
        <f t="shared" si="68"/>
        <v>0</v>
      </c>
      <c r="P241" s="4">
        <f t="shared" si="69"/>
        <v>-11689747.518490346</v>
      </c>
      <c r="T241" s="4">
        <f t="shared" si="70"/>
        <v>7682.2691562286564</v>
      </c>
      <c r="U241" s="4">
        <f t="shared" si="71"/>
        <v>-11689747.518490346</v>
      </c>
      <c r="V241" s="4">
        <f t="shared" si="72"/>
        <v>0</v>
      </c>
      <c r="W241" s="4">
        <f t="shared" si="73"/>
        <v>-11689747.518490346</v>
      </c>
      <c r="X241" s="5">
        <f t="shared" si="74"/>
        <v>16734648.359555682</v>
      </c>
      <c r="Y241" s="5">
        <f t="shared" si="75"/>
        <v>0</v>
      </c>
      <c r="Z241" s="5">
        <f t="shared" si="75"/>
        <v>0</v>
      </c>
      <c r="AB241" s="5">
        <f t="shared" si="63"/>
        <v>26.599999999999909</v>
      </c>
      <c r="AC241" s="4">
        <f t="shared" si="76"/>
        <v>204348.35955568156</v>
      </c>
      <c r="AD241" s="4">
        <f t="shared" si="77"/>
        <v>119699.99999999959</v>
      </c>
      <c r="AE241" s="5">
        <f t="shared" si="78"/>
        <v>84648.359555681964</v>
      </c>
      <c r="AF241" s="3" t="str">
        <f t="shared" si="79"/>
        <v>Y</v>
      </c>
      <c r="AH241" s="4">
        <f t="shared" si="80"/>
        <v>28220047.518490348</v>
      </c>
      <c r="AI241" s="4">
        <f t="shared" si="81"/>
        <v>16530300</v>
      </c>
    </row>
    <row r="242" spans="1:35">
      <c r="A242" s="3">
        <v>240</v>
      </c>
      <c r="B242" s="3" t="s">
        <v>905</v>
      </c>
      <c r="C242" s="3" t="s">
        <v>667</v>
      </c>
      <c r="D242" s="4">
        <v>22600</v>
      </c>
      <c r="E242" s="4">
        <v>43303264.487841398</v>
      </c>
      <c r="F242" s="4">
        <v>0</v>
      </c>
      <c r="G242" s="4">
        <v>0</v>
      </c>
      <c r="H242" s="4">
        <f t="shared" si="64"/>
        <v>43303264.487841398</v>
      </c>
      <c r="I242" s="4">
        <f t="shared" si="65"/>
        <v>1916.0736499044867</v>
      </c>
      <c r="J242" s="4">
        <v>22581.200000000001</v>
      </c>
      <c r="K242" s="5">
        <f t="shared" si="66"/>
        <v>22581.200000000001</v>
      </c>
      <c r="L242" s="4">
        <v>2330</v>
      </c>
      <c r="M242" s="4">
        <f t="shared" si="62"/>
        <v>52650218.184618205</v>
      </c>
      <c r="N242" s="4">
        <f t="shared" si="67"/>
        <v>9346953.6967768054</v>
      </c>
      <c r="O242" s="4">
        <f t="shared" si="68"/>
        <v>9346953.6967768054</v>
      </c>
      <c r="P242" s="4">
        <f t="shared" si="69"/>
        <v>0</v>
      </c>
      <c r="T242" s="4">
        <f t="shared" si="70"/>
        <v>1916.0736499044867</v>
      </c>
      <c r="U242" s="4">
        <f t="shared" si="71"/>
        <v>9346953.6967768054</v>
      </c>
      <c r="V242" s="4">
        <f t="shared" si="72"/>
        <v>9346953.6967768054</v>
      </c>
      <c r="W242" s="4">
        <f t="shared" si="73"/>
        <v>0</v>
      </c>
      <c r="X242" s="5">
        <f t="shared" si="74"/>
        <v>52650218.184618205</v>
      </c>
      <c r="Y242" s="5">
        <f t="shared" si="75"/>
        <v>0</v>
      </c>
      <c r="Z242" s="5">
        <f t="shared" si="75"/>
        <v>0</v>
      </c>
      <c r="AB242" s="5">
        <f t="shared" si="63"/>
        <v>18.799999999999272</v>
      </c>
      <c r="AC242" s="4">
        <f t="shared" si="76"/>
        <v>36022.184618202955</v>
      </c>
      <c r="AD242" s="4">
        <f t="shared" si="77"/>
        <v>43803.999999998305</v>
      </c>
      <c r="AE242" s="5">
        <f t="shared" si="78"/>
        <v>-7781.8153817953498</v>
      </c>
      <c r="AF242" s="3" t="str">
        <f t="shared" si="79"/>
        <v>N</v>
      </c>
      <c r="AH242" s="4">
        <f t="shared" si="80"/>
        <v>43267242.3032232</v>
      </c>
      <c r="AI242" s="4">
        <f t="shared" si="81"/>
        <v>52614196</v>
      </c>
    </row>
    <row r="243" spans="1:35">
      <c r="A243" s="3">
        <v>241</v>
      </c>
      <c r="B243" s="3" t="s">
        <v>906</v>
      </c>
      <c r="C243" s="3" t="s">
        <v>667</v>
      </c>
      <c r="D243" s="4">
        <v>2600</v>
      </c>
      <c r="E243" s="4">
        <v>12571561.467798721</v>
      </c>
      <c r="F243" s="4">
        <v>0</v>
      </c>
      <c r="G243" s="4">
        <v>0</v>
      </c>
      <c r="H243" s="4">
        <f t="shared" si="64"/>
        <v>12571561.467798721</v>
      </c>
      <c r="I243" s="4">
        <f t="shared" si="65"/>
        <v>4835.2159491533539</v>
      </c>
      <c r="J243" s="4">
        <v>2534.9</v>
      </c>
      <c r="K243" s="5">
        <f t="shared" si="66"/>
        <v>2534.9</v>
      </c>
      <c r="L243" s="4">
        <v>10050</v>
      </c>
      <c r="M243" s="4">
        <f t="shared" si="62"/>
        <v>25790517.558289886</v>
      </c>
      <c r="N243" s="4">
        <f t="shared" si="67"/>
        <v>13218956.090491164</v>
      </c>
      <c r="O243" s="4">
        <f t="shared" si="68"/>
        <v>13218956.090491164</v>
      </c>
      <c r="P243" s="4">
        <f t="shared" si="69"/>
        <v>0</v>
      </c>
      <c r="T243" s="4">
        <f t="shared" si="70"/>
        <v>4835.2159491533539</v>
      </c>
      <c r="U243" s="4">
        <f t="shared" si="71"/>
        <v>13218956.090491164</v>
      </c>
      <c r="V243" s="4">
        <f t="shared" si="72"/>
        <v>13218956.090491164</v>
      </c>
      <c r="W243" s="4">
        <f t="shared" si="73"/>
        <v>0</v>
      </c>
      <c r="X243" s="5">
        <f t="shared" si="74"/>
        <v>25790517.558289886</v>
      </c>
      <c r="Y243" s="5">
        <f t="shared" si="75"/>
        <v>0</v>
      </c>
      <c r="Z243" s="5">
        <f t="shared" si="75"/>
        <v>0</v>
      </c>
      <c r="AB243" s="5">
        <f t="shared" si="63"/>
        <v>65.099999999999909</v>
      </c>
      <c r="AC243" s="4">
        <f t="shared" si="76"/>
        <v>314772.5582898829</v>
      </c>
      <c r="AD243" s="4">
        <f t="shared" si="77"/>
        <v>654254.99999999907</v>
      </c>
      <c r="AE243" s="5">
        <f t="shared" si="78"/>
        <v>-339482.44171011617</v>
      </c>
      <c r="AF243" s="3" t="str">
        <f t="shared" si="79"/>
        <v>N</v>
      </c>
      <c r="AH243" s="4">
        <f t="shared" si="80"/>
        <v>12256788.909508837</v>
      </c>
      <c r="AI243" s="4">
        <f t="shared" si="81"/>
        <v>25475745</v>
      </c>
    </row>
    <row r="244" spans="1:35">
      <c r="A244" s="3">
        <v>242</v>
      </c>
      <c r="B244" s="3" t="s">
        <v>907</v>
      </c>
      <c r="C244" s="3" t="s">
        <v>667</v>
      </c>
      <c r="D244" s="4">
        <v>200</v>
      </c>
      <c r="E244" s="4">
        <v>17655124.35795508</v>
      </c>
      <c r="F244" s="4">
        <v>0</v>
      </c>
      <c r="G244" s="4">
        <v>0</v>
      </c>
      <c r="H244" s="4">
        <f t="shared" si="64"/>
        <v>17655124.35795508</v>
      </c>
      <c r="I244" s="4">
        <f t="shared" si="65"/>
        <v>88275.621789775396</v>
      </c>
      <c r="J244" s="4">
        <v>188.7</v>
      </c>
      <c r="K244" s="5">
        <f t="shared" si="66"/>
        <v>188.7</v>
      </c>
      <c r="L244" s="4">
        <v>108100</v>
      </c>
      <c r="M244" s="4">
        <f t="shared" si="62"/>
        <v>21395984.526224464</v>
      </c>
      <c r="N244" s="4">
        <f t="shared" si="67"/>
        <v>3740860.1682693828</v>
      </c>
      <c r="O244" s="4">
        <f t="shared" si="68"/>
        <v>3740860.1682693828</v>
      </c>
      <c r="P244" s="4">
        <f t="shared" si="69"/>
        <v>0</v>
      </c>
      <c r="T244" s="4">
        <f t="shared" si="70"/>
        <v>88275.621789775396</v>
      </c>
      <c r="U244" s="4">
        <f t="shared" si="71"/>
        <v>3740860.1682693828</v>
      </c>
      <c r="V244" s="4">
        <f t="shared" si="72"/>
        <v>3740860.1682693828</v>
      </c>
      <c r="W244" s="4">
        <f t="shared" si="73"/>
        <v>0</v>
      </c>
      <c r="X244" s="5">
        <f t="shared" si="74"/>
        <v>21395984.526224464</v>
      </c>
      <c r="Y244" s="5">
        <f t="shared" si="75"/>
        <v>0</v>
      </c>
      <c r="Z244" s="5">
        <f t="shared" si="75"/>
        <v>0</v>
      </c>
      <c r="AB244" s="5">
        <f t="shared" si="63"/>
        <v>11.300000000000011</v>
      </c>
      <c r="AC244" s="4">
        <f t="shared" si="76"/>
        <v>997514.52622446301</v>
      </c>
      <c r="AD244" s="4">
        <f t="shared" si="77"/>
        <v>1221530.0000000012</v>
      </c>
      <c r="AE244" s="5">
        <f t="shared" si="78"/>
        <v>-224015.47377553815</v>
      </c>
      <c r="AF244" s="3" t="str">
        <f t="shared" si="79"/>
        <v>N</v>
      </c>
      <c r="AH244" s="4">
        <f t="shared" si="80"/>
        <v>16657609.831730615</v>
      </c>
      <c r="AI244" s="4">
        <f t="shared" si="81"/>
        <v>20398470</v>
      </c>
    </row>
    <row r="245" spans="1:35">
      <c r="A245" s="3">
        <v>243</v>
      </c>
      <c r="B245" s="3" t="s">
        <v>908</v>
      </c>
      <c r="C245" s="3" t="s">
        <v>667</v>
      </c>
      <c r="D245" s="4">
        <v>5300</v>
      </c>
      <c r="E245" s="4">
        <v>38902323.908334225</v>
      </c>
      <c r="F245" s="4">
        <v>0</v>
      </c>
      <c r="G245" s="4">
        <v>0</v>
      </c>
      <c r="H245" s="4">
        <f t="shared" si="64"/>
        <v>38902323.908334225</v>
      </c>
      <c r="I245" s="4">
        <f t="shared" si="65"/>
        <v>7340.0611147800428</v>
      </c>
      <c r="J245" s="4">
        <v>5220.2</v>
      </c>
      <c r="K245" s="5">
        <f t="shared" si="66"/>
        <v>5220.2</v>
      </c>
      <c r="L245" s="4">
        <v>9300</v>
      </c>
      <c r="M245" s="4">
        <f t="shared" si="62"/>
        <v>49133596.876959443</v>
      </c>
      <c r="N245" s="4">
        <f t="shared" si="67"/>
        <v>10231272.96862522</v>
      </c>
      <c r="O245" s="4">
        <f t="shared" si="68"/>
        <v>10231272.96862522</v>
      </c>
      <c r="P245" s="4">
        <f t="shared" si="69"/>
        <v>0</v>
      </c>
      <c r="T245" s="4">
        <f t="shared" si="70"/>
        <v>7340.0611147800428</v>
      </c>
      <c r="U245" s="4">
        <f t="shared" si="71"/>
        <v>10231272.96862522</v>
      </c>
      <c r="V245" s="4">
        <f t="shared" si="72"/>
        <v>10231272.96862522</v>
      </c>
      <c r="W245" s="4">
        <f t="shared" si="73"/>
        <v>0</v>
      </c>
      <c r="X245" s="5">
        <f t="shared" si="74"/>
        <v>49133596.876959443</v>
      </c>
      <c r="Y245" s="5">
        <f t="shared" si="75"/>
        <v>0</v>
      </c>
      <c r="Z245" s="5">
        <f t="shared" si="75"/>
        <v>0</v>
      </c>
      <c r="AB245" s="5">
        <f t="shared" si="63"/>
        <v>79.800000000000182</v>
      </c>
      <c r="AC245" s="4">
        <f t="shared" si="76"/>
        <v>585736.8769594488</v>
      </c>
      <c r="AD245" s="4">
        <f t="shared" si="77"/>
        <v>742140.00000000175</v>
      </c>
      <c r="AE245" s="5">
        <f t="shared" si="78"/>
        <v>-156403.12304055295</v>
      </c>
      <c r="AF245" s="3" t="str">
        <f t="shared" si="79"/>
        <v>N</v>
      </c>
      <c r="AH245" s="4">
        <f t="shared" si="80"/>
        <v>38316587.031374775</v>
      </c>
      <c r="AI245" s="4">
        <f t="shared" si="81"/>
        <v>48547860</v>
      </c>
    </row>
    <row r="246" spans="1:35">
      <c r="A246" s="3">
        <v>244</v>
      </c>
      <c r="B246" s="3" t="s">
        <v>909</v>
      </c>
      <c r="C246" s="3" t="s">
        <v>667</v>
      </c>
      <c r="D246" s="4">
        <v>3983</v>
      </c>
      <c r="E246" s="4">
        <v>90788803.455907881</v>
      </c>
      <c r="F246" s="4">
        <v>0</v>
      </c>
      <c r="G246" s="4">
        <v>0</v>
      </c>
      <c r="H246" s="4">
        <f t="shared" si="64"/>
        <v>90788803.455907881</v>
      </c>
      <c r="I246" s="4">
        <f t="shared" si="65"/>
        <v>22794.075685640943</v>
      </c>
      <c r="J246" s="4">
        <v>3780.7</v>
      </c>
      <c r="K246" s="5">
        <f t="shared" si="66"/>
        <v>3780.7</v>
      </c>
      <c r="L246" s="4">
        <v>56800</v>
      </c>
      <c r="M246" s="4">
        <f t="shared" si="62"/>
        <v>219355001.51120517</v>
      </c>
      <c r="N246" s="4">
        <f t="shared" si="67"/>
        <v>128566198.05529729</v>
      </c>
      <c r="O246" s="4">
        <f t="shared" si="68"/>
        <v>128566198.05529729</v>
      </c>
      <c r="P246" s="4">
        <f t="shared" si="69"/>
        <v>0</v>
      </c>
      <c r="T246" s="4">
        <f t="shared" si="70"/>
        <v>22794.075685640943</v>
      </c>
      <c r="U246" s="4">
        <f t="shared" si="71"/>
        <v>128566198.05529729</v>
      </c>
      <c r="V246" s="4">
        <f t="shared" si="72"/>
        <v>128566198.05529729</v>
      </c>
      <c r="W246" s="4">
        <f t="shared" si="73"/>
        <v>0</v>
      </c>
      <c r="X246" s="5">
        <f t="shared" si="74"/>
        <v>219355001.51120517</v>
      </c>
      <c r="Y246" s="5">
        <f t="shared" si="75"/>
        <v>0</v>
      </c>
      <c r="Z246" s="5">
        <f t="shared" si="75"/>
        <v>0</v>
      </c>
      <c r="AB246" s="5">
        <f t="shared" si="63"/>
        <v>202.30000000000018</v>
      </c>
      <c r="AC246" s="4">
        <f t="shared" si="76"/>
        <v>4611241.5112051666</v>
      </c>
      <c r="AD246" s="4">
        <f t="shared" si="77"/>
        <v>11490640.000000011</v>
      </c>
      <c r="AE246" s="5">
        <f t="shared" si="78"/>
        <v>-6879398.4887948446</v>
      </c>
      <c r="AF246" s="3" t="str">
        <f t="shared" si="79"/>
        <v>N</v>
      </c>
      <c r="AH246" s="4">
        <f t="shared" si="80"/>
        <v>86177561.944702715</v>
      </c>
      <c r="AI246" s="4">
        <f t="shared" si="81"/>
        <v>214743760</v>
      </c>
    </row>
    <row r="247" spans="1:35">
      <c r="A247" s="3">
        <v>245</v>
      </c>
      <c r="B247" s="3" t="s">
        <v>910</v>
      </c>
      <c r="C247" s="3" t="s">
        <v>667</v>
      </c>
      <c r="D247" s="4">
        <v>197100</v>
      </c>
      <c r="E247" s="4">
        <v>1009063589.2988478</v>
      </c>
      <c r="F247" s="4">
        <v>0</v>
      </c>
      <c r="G247" s="4">
        <v>0</v>
      </c>
      <c r="H247" s="4">
        <f t="shared" si="64"/>
        <v>1009063589.2988478</v>
      </c>
      <c r="I247" s="4">
        <f t="shared" si="65"/>
        <v>5119.5514424091716</v>
      </c>
      <c r="J247" s="4">
        <v>196368</v>
      </c>
      <c r="K247" s="5">
        <f t="shared" si="66"/>
        <v>196368</v>
      </c>
      <c r="L247" s="4">
        <v>5119.5514424091716</v>
      </c>
      <c r="M247" s="4">
        <f t="shared" si="62"/>
        <v>1009063589.2988478</v>
      </c>
      <c r="N247" s="4">
        <f t="shared" si="67"/>
        <v>0</v>
      </c>
      <c r="O247" s="4">
        <f t="shared" si="68"/>
        <v>0</v>
      </c>
      <c r="P247" s="4">
        <f t="shared" si="69"/>
        <v>0</v>
      </c>
      <c r="Q247" s="3" t="s">
        <v>715</v>
      </c>
      <c r="T247" s="4">
        <f t="shared" si="70"/>
        <v>5119.5514424091716</v>
      </c>
      <c r="U247" s="4">
        <f t="shared" si="71"/>
        <v>0</v>
      </c>
      <c r="V247" s="4">
        <f t="shared" si="72"/>
        <v>0</v>
      </c>
      <c r="W247" s="4">
        <f t="shared" si="73"/>
        <v>0</v>
      </c>
      <c r="X247" s="5">
        <f t="shared" si="74"/>
        <v>1009063589.2988478</v>
      </c>
      <c r="Y247" s="5">
        <f t="shared" si="75"/>
        <v>0</v>
      </c>
      <c r="Z247" s="5">
        <f t="shared" si="75"/>
        <v>0</v>
      </c>
      <c r="AB247" s="5">
        <f t="shared" si="63"/>
        <v>732</v>
      </c>
      <c r="AC247" s="4">
        <f t="shared" si="76"/>
        <v>3747511.6558435136</v>
      </c>
      <c r="AD247" s="4">
        <f t="shared" si="77"/>
        <v>3747511.6558435136</v>
      </c>
      <c r="AE247" s="5">
        <f t="shared" si="78"/>
        <v>0</v>
      </c>
      <c r="AF247" s="3" t="str">
        <f t="shared" si="79"/>
        <v>N</v>
      </c>
      <c r="AH247" s="4">
        <f t="shared" si="80"/>
        <v>1005316077.6430042</v>
      </c>
      <c r="AI247" s="4">
        <f t="shared" si="81"/>
        <v>1005316077.6430042</v>
      </c>
    </row>
    <row r="248" spans="1:35">
      <c r="A248" s="3">
        <v>246</v>
      </c>
      <c r="B248" s="3" t="s">
        <v>911</v>
      </c>
      <c r="C248" s="3" t="s">
        <v>667</v>
      </c>
      <c r="D248" s="4">
        <v>1900</v>
      </c>
      <c r="E248" s="4">
        <v>154259790.62040725</v>
      </c>
      <c r="F248" s="4">
        <v>0</v>
      </c>
      <c r="G248" s="4">
        <v>0</v>
      </c>
      <c r="H248" s="4">
        <f t="shared" si="64"/>
        <v>154259790.62040725</v>
      </c>
      <c r="I248" s="4">
        <f t="shared" si="65"/>
        <v>81189.363484424874</v>
      </c>
      <c r="J248" s="4">
        <v>1743.2</v>
      </c>
      <c r="K248" s="5">
        <f t="shared" si="66"/>
        <v>1743.2</v>
      </c>
      <c r="L248" s="4">
        <v>63000</v>
      </c>
      <c r="M248" s="4">
        <f t="shared" si="62"/>
        <v>122552092.19435781</v>
      </c>
      <c r="N248" s="4">
        <f t="shared" si="67"/>
        <v>-31707698.426049441</v>
      </c>
      <c r="O248" s="4">
        <f t="shared" si="68"/>
        <v>0</v>
      </c>
      <c r="P248" s="4">
        <f t="shared" si="69"/>
        <v>-31707698.426049441</v>
      </c>
      <c r="T248" s="4">
        <f t="shared" si="70"/>
        <v>81189.363484424874</v>
      </c>
      <c r="U248" s="4">
        <f t="shared" si="71"/>
        <v>-31707698.426049441</v>
      </c>
      <c r="V248" s="4">
        <f t="shared" si="72"/>
        <v>0</v>
      </c>
      <c r="W248" s="4">
        <f t="shared" si="73"/>
        <v>-31707698.426049441</v>
      </c>
      <c r="X248" s="5">
        <f t="shared" si="74"/>
        <v>122552092.19435781</v>
      </c>
      <c r="Y248" s="5">
        <f t="shared" si="75"/>
        <v>0</v>
      </c>
      <c r="Z248" s="5">
        <f t="shared" si="75"/>
        <v>0</v>
      </c>
      <c r="AB248" s="5">
        <f t="shared" si="63"/>
        <v>156.79999999999995</v>
      </c>
      <c r="AC248" s="4">
        <f t="shared" si="76"/>
        <v>12730492.194357816</v>
      </c>
      <c r="AD248" s="4">
        <f t="shared" si="77"/>
        <v>9878399.9999999963</v>
      </c>
      <c r="AE248" s="5">
        <f t="shared" si="78"/>
        <v>2852092.1943578199</v>
      </c>
      <c r="AF248" s="3" t="str">
        <f t="shared" si="79"/>
        <v>Y</v>
      </c>
      <c r="AH248" s="4">
        <f t="shared" si="80"/>
        <v>141529298.42604944</v>
      </c>
      <c r="AI248" s="4">
        <f t="shared" si="81"/>
        <v>109821600</v>
      </c>
    </row>
    <row r="249" spans="1:35">
      <c r="A249" s="3">
        <v>247</v>
      </c>
      <c r="B249" s="3" t="s">
        <v>912</v>
      </c>
      <c r="C249" s="3" t="s">
        <v>667</v>
      </c>
      <c r="D249" s="4">
        <v>8783</v>
      </c>
      <c r="E249" s="4">
        <v>69274943.151107728</v>
      </c>
      <c r="F249" s="4">
        <v>0</v>
      </c>
      <c r="G249" s="4">
        <v>0</v>
      </c>
      <c r="H249" s="4">
        <f t="shared" si="64"/>
        <v>69274943.151107728</v>
      </c>
      <c r="I249" s="4">
        <f t="shared" si="65"/>
        <v>7887.3896335087929</v>
      </c>
      <c r="J249" s="4">
        <v>9903.2000000000007</v>
      </c>
      <c r="K249" s="5">
        <f t="shared" si="66"/>
        <v>8783</v>
      </c>
      <c r="L249" s="4">
        <v>6560</v>
      </c>
      <c r="M249" s="4">
        <f t="shared" si="62"/>
        <v>57616480</v>
      </c>
      <c r="N249" s="4">
        <f t="shared" si="67"/>
        <v>-11658463.151107728</v>
      </c>
      <c r="O249" s="4">
        <f t="shared" si="68"/>
        <v>0</v>
      </c>
      <c r="P249" s="4">
        <f t="shared" si="69"/>
        <v>-11658463.151107728</v>
      </c>
      <c r="T249" s="4">
        <f t="shared" si="70"/>
        <v>7887.3896335087929</v>
      </c>
      <c r="U249" s="4">
        <f t="shared" si="71"/>
        <v>-11658463.151107728</v>
      </c>
      <c r="V249" s="4">
        <f t="shared" si="72"/>
        <v>0</v>
      </c>
      <c r="W249" s="4">
        <f t="shared" si="73"/>
        <v>-11658463.151107728</v>
      </c>
      <c r="X249" s="5">
        <f t="shared" si="74"/>
        <v>57616480</v>
      </c>
      <c r="Y249" s="5">
        <f t="shared" si="75"/>
        <v>0</v>
      </c>
      <c r="Z249" s="5">
        <f t="shared" si="75"/>
        <v>0</v>
      </c>
      <c r="AB249" s="5">
        <f t="shared" si="63"/>
        <v>-1120.2000000000007</v>
      </c>
      <c r="AC249" s="4">
        <f t="shared" si="76"/>
        <v>-8835453.8674565554</v>
      </c>
      <c r="AD249" s="4">
        <f t="shared" si="77"/>
        <v>-7348512.0000000047</v>
      </c>
      <c r="AE249" s="5">
        <f t="shared" si="78"/>
        <v>0</v>
      </c>
      <c r="AF249" s="3" t="str">
        <f t="shared" si="79"/>
        <v>N</v>
      </c>
      <c r="AH249" s="4">
        <f t="shared" si="80"/>
        <v>69274943.151107728</v>
      </c>
      <c r="AI249" s="4">
        <f t="shared" si="81"/>
        <v>57616480</v>
      </c>
    </row>
    <row r="250" spans="1:35">
      <c r="A250" s="3">
        <v>248</v>
      </c>
      <c r="B250" s="3" t="s">
        <v>913</v>
      </c>
      <c r="C250" s="3" t="s">
        <v>667</v>
      </c>
      <c r="D250" s="4">
        <v>3038</v>
      </c>
      <c r="E250" s="4">
        <v>41209236.015739784</v>
      </c>
      <c r="F250" s="4">
        <v>0</v>
      </c>
      <c r="G250" s="4">
        <v>0</v>
      </c>
      <c r="H250" s="4">
        <f t="shared" si="64"/>
        <v>41209236.015739784</v>
      </c>
      <c r="I250" s="4">
        <f t="shared" si="65"/>
        <v>13564.593816899205</v>
      </c>
      <c r="J250" s="4">
        <v>2995.7</v>
      </c>
      <c r="K250" s="5">
        <f t="shared" si="66"/>
        <v>2995.7</v>
      </c>
      <c r="L250" s="4">
        <v>13200</v>
      </c>
      <c r="M250" s="4">
        <f t="shared" si="62"/>
        <v>40117022.318454832</v>
      </c>
      <c r="N250" s="4">
        <f t="shared" si="67"/>
        <v>-1092213.697284949</v>
      </c>
      <c r="O250" s="4">
        <f t="shared" si="68"/>
        <v>0</v>
      </c>
      <c r="P250" s="4">
        <f t="shared" si="69"/>
        <v>-1092213.697284949</v>
      </c>
      <c r="T250" s="4">
        <f t="shared" si="70"/>
        <v>13564.593816899205</v>
      </c>
      <c r="U250" s="4">
        <f t="shared" si="71"/>
        <v>-1092213.697284949</v>
      </c>
      <c r="V250" s="4">
        <f t="shared" si="72"/>
        <v>0</v>
      </c>
      <c r="W250" s="4">
        <f t="shared" si="73"/>
        <v>-1092213.697284949</v>
      </c>
      <c r="X250" s="5">
        <f t="shared" si="74"/>
        <v>40117022.318454832</v>
      </c>
      <c r="Y250" s="5">
        <f t="shared" si="75"/>
        <v>0</v>
      </c>
      <c r="Z250" s="5">
        <f t="shared" si="75"/>
        <v>0</v>
      </c>
      <c r="AB250" s="5">
        <f t="shared" si="63"/>
        <v>42.300000000000182</v>
      </c>
      <c r="AC250" s="4">
        <f t="shared" si="76"/>
        <v>573782.31845483882</v>
      </c>
      <c r="AD250" s="4">
        <f t="shared" si="77"/>
        <v>558360.00000000244</v>
      </c>
      <c r="AE250" s="5">
        <f t="shared" si="78"/>
        <v>15422.318454836379</v>
      </c>
      <c r="AF250" s="3" t="str">
        <f t="shared" si="79"/>
        <v>Y</v>
      </c>
      <c r="AH250" s="4">
        <f t="shared" si="80"/>
        <v>40635453.697284944</v>
      </c>
      <c r="AI250" s="4">
        <f t="shared" si="81"/>
        <v>39543240</v>
      </c>
    </row>
    <row r="251" spans="1:35">
      <c r="A251" s="3">
        <v>249</v>
      </c>
      <c r="B251" s="3" t="s">
        <v>914</v>
      </c>
      <c r="C251" s="3" t="s">
        <v>667</v>
      </c>
      <c r="D251" s="4">
        <v>300</v>
      </c>
      <c r="E251" s="4">
        <v>6842734.9296526276</v>
      </c>
      <c r="F251" s="4">
        <v>0</v>
      </c>
      <c r="G251" s="4">
        <v>0</v>
      </c>
      <c r="H251" s="4">
        <f t="shared" si="64"/>
        <v>6842734.9296526276</v>
      </c>
      <c r="I251" s="4">
        <f t="shared" si="65"/>
        <v>22809.116432175426</v>
      </c>
      <c r="J251" s="4">
        <v>218.6</v>
      </c>
      <c r="K251" s="5">
        <f t="shared" si="66"/>
        <v>218.6</v>
      </c>
      <c r="L251" s="4">
        <v>19000</v>
      </c>
      <c r="M251" s="4">
        <f t="shared" si="62"/>
        <v>6010062.0775790792</v>
      </c>
      <c r="N251" s="4">
        <f t="shared" si="67"/>
        <v>-832672.85207354813</v>
      </c>
      <c r="O251" s="4">
        <f t="shared" si="68"/>
        <v>0</v>
      </c>
      <c r="P251" s="4">
        <f t="shared" si="69"/>
        <v>-832672.85207354813</v>
      </c>
      <c r="T251" s="4">
        <f t="shared" si="70"/>
        <v>22809.116432175426</v>
      </c>
      <c r="U251" s="4">
        <f t="shared" si="71"/>
        <v>-832672.85207354813</v>
      </c>
      <c r="V251" s="4">
        <f t="shared" si="72"/>
        <v>0</v>
      </c>
      <c r="W251" s="4">
        <f t="shared" si="73"/>
        <v>-832672.85207354813</v>
      </c>
      <c r="X251" s="5">
        <f t="shared" si="74"/>
        <v>6010062.0775790792</v>
      </c>
      <c r="Y251" s="5">
        <f t="shared" si="75"/>
        <v>0</v>
      </c>
      <c r="Z251" s="5">
        <f t="shared" si="75"/>
        <v>0</v>
      </c>
      <c r="AB251" s="5">
        <f t="shared" si="63"/>
        <v>81.400000000000006</v>
      </c>
      <c r="AC251" s="4">
        <f t="shared" si="76"/>
        <v>1856662.0775790799</v>
      </c>
      <c r="AD251" s="4">
        <f t="shared" si="77"/>
        <v>1546600</v>
      </c>
      <c r="AE251" s="5">
        <f t="shared" si="78"/>
        <v>310062.07757907989</v>
      </c>
      <c r="AF251" s="3" t="str">
        <f t="shared" si="79"/>
        <v>Y</v>
      </c>
      <c r="AH251" s="4">
        <f t="shared" si="80"/>
        <v>4986072.8520735484</v>
      </c>
      <c r="AI251" s="4">
        <f t="shared" si="81"/>
        <v>4153400</v>
      </c>
    </row>
    <row r="252" spans="1:35">
      <c r="A252" s="3">
        <v>250</v>
      </c>
      <c r="B252" s="3" t="s">
        <v>915</v>
      </c>
      <c r="C252" s="3" t="s">
        <v>667</v>
      </c>
      <c r="D252" s="4">
        <v>900</v>
      </c>
      <c r="E252" s="4">
        <v>15639415.476855928</v>
      </c>
      <c r="F252" s="4">
        <v>0</v>
      </c>
      <c r="G252" s="4">
        <v>0</v>
      </c>
      <c r="H252" s="4">
        <f t="shared" si="64"/>
        <v>15639415.476855928</v>
      </c>
      <c r="I252" s="4">
        <f t="shared" si="65"/>
        <v>17377.128307617699</v>
      </c>
      <c r="J252" s="4">
        <v>769.1</v>
      </c>
      <c r="K252" s="5">
        <f t="shared" si="66"/>
        <v>769.1</v>
      </c>
      <c r="L252" s="4">
        <v>15000</v>
      </c>
      <c r="M252" s="4">
        <f t="shared" si="62"/>
        <v>13811166.095467156</v>
      </c>
      <c r="N252" s="4">
        <f t="shared" si="67"/>
        <v>-1828249.381388772</v>
      </c>
      <c r="O252" s="4">
        <f t="shared" si="68"/>
        <v>0</v>
      </c>
      <c r="P252" s="4">
        <f t="shared" si="69"/>
        <v>-1828249.381388772</v>
      </c>
      <c r="T252" s="4">
        <f t="shared" si="70"/>
        <v>17377.128307617699</v>
      </c>
      <c r="U252" s="4">
        <f t="shared" si="71"/>
        <v>-1828249.381388772</v>
      </c>
      <c r="V252" s="4">
        <f t="shared" si="72"/>
        <v>0</v>
      </c>
      <c r="W252" s="4">
        <f t="shared" si="73"/>
        <v>-1828249.381388772</v>
      </c>
      <c r="X252" s="5">
        <f t="shared" si="74"/>
        <v>13811166.095467156</v>
      </c>
      <c r="Y252" s="5">
        <f t="shared" si="75"/>
        <v>0</v>
      </c>
      <c r="Z252" s="5">
        <f t="shared" si="75"/>
        <v>0</v>
      </c>
      <c r="AB252" s="5">
        <f t="shared" si="63"/>
        <v>130.89999999999998</v>
      </c>
      <c r="AC252" s="4">
        <f t="shared" si="76"/>
        <v>2274666.0954671563</v>
      </c>
      <c r="AD252" s="4">
        <f t="shared" si="77"/>
        <v>1963499.9999999998</v>
      </c>
      <c r="AE252" s="5">
        <f t="shared" si="78"/>
        <v>311166.0954671565</v>
      </c>
      <c r="AF252" s="3" t="str">
        <f t="shared" si="79"/>
        <v>Y</v>
      </c>
      <c r="AH252" s="4">
        <f t="shared" si="80"/>
        <v>13364749.381388772</v>
      </c>
      <c r="AI252" s="4">
        <f t="shared" si="81"/>
        <v>11536500</v>
      </c>
    </row>
    <row r="253" spans="1:35">
      <c r="A253" s="3">
        <v>251</v>
      </c>
      <c r="B253" s="3" t="s">
        <v>916</v>
      </c>
      <c r="C253" s="3" t="s">
        <v>667</v>
      </c>
      <c r="D253" s="4">
        <v>21020</v>
      </c>
      <c r="E253" s="4">
        <v>166681955.97530419</v>
      </c>
      <c r="F253" s="4">
        <v>0</v>
      </c>
      <c r="G253" s="4">
        <v>0</v>
      </c>
      <c r="H253" s="4">
        <f t="shared" si="64"/>
        <v>166681955.97530419</v>
      </c>
      <c r="I253" s="4">
        <f t="shared" si="65"/>
        <v>7929.6839189012462</v>
      </c>
      <c r="J253" s="4">
        <v>21092.7</v>
      </c>
      <c r="K253" s="5">
        <f t="shared" si="66"/>
        <v>21020</v>
      </c>
      <c r="L253" s="4">
        <v>7400</v>
      </c>
      <c r="M253" s="4">
        <f t="shared" si="62"/>
        <v>155548000</v>
      </c>
      <c r="N253" s="4">
        <f t="shared" si="67"/>
        <v>-11133955.975304196</v>
      </c>
      <c r="O253" s="4">
        <f t="shared" si="68"/>
        <v>0</v>
      </c>
      <c r="P253" s="4">
        <f t="shared" si="69"/>
        <v>-11133955.975304196</v>
      </c>
      <c r="T253" s="4">
        <f t="shared" si="70"/>
        <v>7929.6839189012462</v>
      </c>
      <c r="U253" s="4">
        <f t="shared" si="71"/>
        <v>-11133955.975304196</v>
      </c>
      <c r="V253" s="4">
        <f t="shared" si="72"/>
        <v>0</v>
      </c>
      <c r="W253" s="4">
        <f t="shared" si="73"/>
        <v>-11133955.975304196</v>
      </c>
      <c r="X253" s="5">
        <f t="shared" si="74"/>
        <v>155548000</v>
      </c>
      <c r="Y253" s="5">
        <f t="shared" si="75"/>
        <v>0</v>
      </c>
      <c r="Z253" s="5">
        <f t="shared" si="75"/>
        <v>0</v>
      </c>
      <c r="AB253" s="5">
        <f t="shared" si="63"/>
        <v>-72.700000000000728</v>
      </c>
      <c r="AC253" s="4">
        <f t="shared" si="76"/>
        <v>-576488.02090412634</v>
      </c>
      <c r="AD253" s="4">
        <f t="shared" si="77"/>
        <v>-537980.00000000536</v>
      </c>
      <c r="AE253" s="5">
        <f t="shared" si="78"/>
        <v>0</v>
      </c>
      <c r="AF253" s="3" t="str">
        <f t="shared" si="79"/>
        <v>N</v>
      </c>
      <c r="AH253" s="4">
        <f t="shared" si="80"/>
        <v>166681955.97530419</v>
      </c>
      <c r="AI253" s="4">
        <f t="shared" si="81"/>
        <v>155548000</v>
      </c>
    </row>
    <row r="254" spans="1:35">
      <c r="A254" s="3">
        <v>252</v>
      </c>
      <c r="B254" s="3" t="s">
        <v>917</v>
      </c>
      <c r="C254" s="3" t="s">
        <v>667</v>
      </c>
      <c r="D254" s="4">
        <v>5200</v>
      </c>
      <c r="E254" s="4">
        <v>53721765.323134713</v>
      </c>
      <c r="F254" s="4">
        <v>0</v>
      </c>
      <c r="G254" s="4">
        <v>0</v>
      </c>
      <c r="H254" s="4">
        <f t="shared" si="64"/>
        <v>53721765.323134713</v>
      </c>
      <c r="I254" s="4">
        <f t="shared" si="65"/>
        <v>10331.108715987444</v>
      </c>
      <c r="J254" s="4">
        <v>5117.5</v>
      </c>
      <c r="K254" s="5">
        <f t="shared" si="66"/>
        <v>5117.5</v>
      </c>
      <c r="L254" s="4">
        <v>8220</v>
      </c>
      <c r="M254" s="4">
        <f t="shared" si="62"/>
        <v>42918166.469068967</v>
      </c>
      <c r="N254" s="4">
        <f t="shared" si="67"/>
        <v>-10803598.854065746</v>
      </c>
      <c r="O254" s="4">
        <f t="shared" si="68"/>
        <v>0</v>
      </c>
      <c r="P254" s="4">
        <f t="shared" si="69"/>
        <v>-10803598.854065746</v>
      </c>
      <c r="T254" s="4">
        <f t="shared" si="70"/>
        <v>10331.108715987444</v>
      </c>
      <c r="U254" s="4">
        <f t="shared" si="71"/>
        <v>-10803598.854065746</v>
      </c>
      <c r="V254" s="4">
        <f t="shared" si="72"/>
        <v>0</v>
      </c>
      <c r="W254" s="4">
        <f t="shared" si="73"/>
        <v>-10803598.854065746</v>
      </c>
      <c r="X254" s="5">
        <f t="shared" si="74"/>
        <v>42918166.469068967</v>
      </c>
      <c r="Y254" s="5">
        <f t="shared" si="75"/>
        <v>0</v>
      </c>
      <c r="Z254" s="5">
        <f t="shared" si="75"/>
        <v>0</v>
      </c>
      <c r="AB254" s="5">
        <f t="shared" si="63"/>
        <v>82.5</v>
      </c>
      <c r="AC254" s="4">
        <f t="shared" si="76"/>
        <v>852316.46906896413</v>
      </c>
      <c r="AD254" s="4">
        <f t="shared" si="77"/>
        <v>678150</v>
      </c>
      <c r="AE254" s="5">
        <f t="shared" si="78"/>
        <v>174166.46906896413</v>
      </c>
      <c r="AF254" s="3" t="str">
        <f t="shared" si="79"/>
        <v>Y</v>
      </c>
      <c r="AH254" s="4">
        <f t="shared" si="80"/>
        <v>52869448.854065746</v>
      </c>
      <c r="AI254" s="4">
        <f t="shared" si="81"/>
        <v>42065850</v>
      </c>
    </row>
    <row r="255" spans="1:35">
      <c r="A255" s="3">
        <v>253</v>
      </c>
      <c r="B255" s="3" t="s">
        <v>918</v>
      </c>
      <c r="C255" s="3" t="s">
        <v>667</v>
      </c>
      <c r="D255" s="4">
        <v>1700</v>
      </c>
      <c r="E255" s="4">
        <v>29772975.185024787</v>
      </c>
      <c r="F255" s="4">
        <v>0</v>
      </c>
      <c r="G255" s="4">
        <v>0</v>
      </c>
      <c r="H255" s="4">
        <f t="shared" si="64"/>
        <v>29772975.185024787</v>
      </c>
      <c r="I255" s="4">
        <f t="shared" si="65"/>
        <v>17513.514814720464</v>
      </c>
      <c r="J255" s="4">
        <v>1606</v>
      </c>
      <c r="K255" s="5">
        <f t="shared" si="66"/>
        <v>1606</v>
      </c>
      <c r="L255" s="4">
        <v>19550</v>
      </c>
      <c r="M255" s="4">
        <f t="shared" si="62"/>
        <v>33043570.39258372</v>
      </c>
      <c r="N255" s="4">
        <f t="shared" si="67"/>
        <v>3270595.2075589355</v>
      </c>
      <c r="O255" s="4">
        <f t="shared" si="68"/>
        <v>3270595.2075589355</v>
      </c>
      <c r="P255" s="4">
        <f t="shared" si="69"/>
        <v>0</v>
      </c>
      <c r="T255" s="4">
        <f t="shared" si="70"/>
        <v>17513.514814720464</v>
      </c>
      <c r="U255" s="4">
        <f t="shared" si="71"/>
        <v>3270595.2075589355</v>
      </c>
      <c r="V255" s="4">
        <f t="shared" si="72"/>
        <v>3270595.2075589355</v>
      </c>
      <c r="W255" s="4">
        <f t="shared" si="73"/>
        <v>0</v>
      </c>
      <c r="X255" s="5">
        <f t="shared" si="74"/>
        <v>33043570.39258372</v>
      </c>
      <c r="Y255" s="5">
        <f t="shared" si="75"/>
        <v>0</v>
      </c>
      <c r="Z255" s="5">
        <f t="shared" si="75"/>
        <v>0</v>
      </c>
      <c r="AB255" s="5">
        <f t="shared" si="63"/>
        <v>94</v>
      </c>
      <c r="AC255" s="4">
        <f t="shared" si="76"/>
        <v>1646270.3925837236</v>
      </c>
      <c r="AD255" s="4">
        <f t="shared" si="77"/>
        <v>1837700</v>
      </c>
      <c r="AE255" s="5">
        <f t="shared" si="78"/>
        <v>-191429.60741627635</v>
      </c>
      <c r="AF255" s="3" t="str">
        <f t="shared" si="79"/>
        <v>N</v>
      </c>
      <c r="AH255" s="4">
        <f t="shared" si="80"/>
        <v>28126704.792441066</v>
      </c>
      <c r="AI255" s="4">
        <f t="shared" si="81"/>
        <v>31397300</v>
      </c>
    </row>
    <row r="256" spans="1:35">
      <c r="A256" s="3">
        <v>254</v>
      </c>
      <c r="B256" s="3" t="s">
        <v>919</v>
      </c>
      <c r="C256" s="3" t="s">
        <v>667</v>
      </c>
      <c r="D256" s="4">
        <v>1000</v>
      </c>
      <c r="E256" s="4">
        <v>11970307.053010637</v>
      </c>
      <c r="F256" s="4">
        <v>0</v>
      </c>
      <c r="G256" s="4">
        <v>0</v>
      </c>
      <c r="H256" s="4">
        <f t="shared" si="64"/>
        <v>11970307.053010637</v>
      </c>
      <c r="I256" s="4">
        <f t="shared" si="65"/>
        <v>11970.307053010636</v>
      </c>
      <c r="J256" s="4">
        <v>962</v>
      </c>
      <c r="K256" s="5">
        <f t="shared" si="66"/>
        <v>962</v>
      </c>
      <c r="L256" s="4">
        <v>11300</v>
      </c>
      <c r="M256" s="4">
        <f t="shared" si="62"/>
        <v>11325471.668014405</v>
      </c>
      <c r="N256" s="4">
        <f t="shared" si="67"/>
        <v>-644835.38499623188</v>
      </c>
      <c r="O256" s="4">
        <f t="shared" si="68"/>
        <v>0</v>
      </c>
      <c r="P256" s="4">
        <f t="shared" si="69"/>
        <v>-644835.38499623188</v>
      </c>
      <c r="T256" s="4">
        <f t="shared" si="70"/>
        <v>11970.307053010636</v>
      </c>
      <c r="U256" s="4">
        <f t="shared" si="71"/>
        <v>-644835.38499623188</v>
      </c>
      <c r="V256" s="4">
        <f t="shared" si="72"/>
        <v>0</v>
      </c>
      <c r="W256" s="4">
        <f t="shared" si="73"/>
        <v>-644835.38499623188</v>
      </c>
      <c r="X256" s="5">
        <f t="shared" si="74"/>
        <v>11325471.668014405</v>
      </c>
      <c r="Y256" s="5">
        <f t="shared" si="75"/>
        <v>0</v>
      </c>
      <c r="Z256" s="5">
        <f t="shared" si="75"/>
        <v>0</v>
      </c>
      <c r="AB256" s="5">
        <f t="shared" si="63"/>
        <v>38</v>
      </c>
      <c r="AC256" s="4">
        <f t="shared" si="76"/>
        <v>454871.66801440419</v>
      </c>
      <c r="AD256" s="4">
        <f t="shared" si="77"/>
        <v>429400</v>
      </c>
      <c r="AE256" s="5">
        <f t="shared" si="78"/>
        <v>25471.668014404189</v>
      </c>
      <c r="AF256" s="3" t="str">
        <f t="shared" si="79"/>
        <v>Y</v>
      </c>
      <c r="AH256" s="4">
        <f t="shared" si="80"/>
        <v>11515435.384996232</v>
      </c>
      <c r="AI256" s="4">
        <f t="shared" si="81"/>
        <v>10870600</v>
      </c>
    </row>
    <row r="257" spans="1:35">
      <c r="A257" s="3">
        <v>255</v>
      </c>
      <c r="B257" s="3" t="s">
        <v>920</v>
      </c>
      <c r="C257" s="3" t="s">
        <v>667</v>
      </c>
      <c r="D257" s="4">
        <v>4400</v>
      </c>
      <c r="E257" s="4">
        <v>23404436.227050208</v>
      </c>
      <c r="F257" s="4">
        <v>0</v>
      </c>
      <c r="G257" s="4">
        <v>0</v>
      </c>
      <c r="H257" s="4">
        <f t="shared" si="64"/>
        <v>23404436.227050208</v>
      </c>
      <c r="I257" s="4">
        <f t="shared" si="65"/>
        <v>5319.1900516023197</v>
      </c>
      <c r="J257" s="4">
        <v>4356</v>
      </c>
      <c r="K257" s="5">
        <f t="shared" si="66"/>
        <v>4356</v>
      </c>
      <c r="L257" s="4">
        <v>4650</v>
      </c>
      <c r="M257" s="4">
        <f t="shared" si="62"/>
        <v>20489444.362270504</v>
      </c>
      <c r="N257" s="4">
        <f t="shared" si="67"/>
        <v>-2914991.8647797047</v>
      </c>
      <c r="O257" s="4">
        <f t="shared" si="68"/>
        <v>0</v>
      </c>
      <c r="P257" s="4">
        <f t="shared" si="69"/>
        <v>-2914991.8647797047</v>
      </c>
      <c r="T257" s="4">
        <f t="shared" si="70"/>
        <v>5319.1900516023197</v>
      </c>
      <c r="U257" s="4">
        <f t="shared" si="71"/>
        <v>-2914991.8647797047</v>
      </c>
      <c r="V257" s="4">
        <f t="shared" si="72"/>
        <v>0</v>
      </c>
      <c r="W257" s="4">
        <f t="shared" si="73"/>
        <v>-2914991.8647797047</v>
      </c>
      <c r="X257" s="5">
        <f t="shared" si="74"/>
        <v>20489444.362270504</v>
      </c>
      <c r="Y257" s="5">
        <f t="shared" si="75"/>
        <v>0</v>
      </c>
      <c r="Z257" s="5">
        <f t="shared" si="75"/>
        <v>0</v>
      </c>
      <c r="AB257" s="5">
        <f t="shared" si="63"/>
        <v>44</v>
      </c>
      <c r="AC257" s="4">
        <f t="shared" si="76"/>
        <v>234044.36227050208</v>
      </c>
      <c r="AD257" s="4">
        <f t="shared" si="77"/>
        <v>204600</v>
      </c>
      <c r="AE257" s="5">
        <f t="shared" si="78"/>
        <v>29444.362270502083</v>
      </c>
      <c r="AF257" s="3" t="str">
        <f t="shared" si="79"/>
        <v>Y</v>
      </c>
      <c r="AH257" s="4">
        <f t="shared" si="80"/>
        <v>23170391.864779703</v>
      </c>
      <c r="AI257" s="4">
        <f t="shared" si="81"/>
        <v>20255400</v>
      </c>
    </row>
    <row r="258" spans="1:35">
      <c r="A258" s="3">
        <v>256</v>
      </c>
      <c r="B258" s="3" t="s">
        <v>921</v>
      </c>
      <c r="C258" s="3" t="s">
        <v>667</v>
      </c>
      <c r="D258" s="4">
        <v>31184</v>
      </c>
      <c r="E258" s="4">
        <v>254915364.65699732</v>
      </c>
      <c r="F258" s="4">
        <v>0</v>
      </c>
      <c r="G258" s="4">
        <v>0</v>
      </c>
      <c r="H258" s="4">
        <f t="shared" si="64"/>
        <v>254915364.65699732</v>
      </c>
      <c r="I258" s="4">
        <f t="shared" si="65"/>
        <v>8174.5563319970925</v>
      </c>
      <c r="J258" s="4">
        <v>33195.199999999997</v>
      </c>
      <c r="K258" s="5">
        <f t="shared" si="66"/>
        <v>31184</v>
      </c>
      <c r="L258" s="4">
        <v>10800</v>
      </c>
      <c r="M258" s="4">
        <f t="shared" si="62"/>
        <v>336787200</v>
      </c>
      <c r="N258" s="4">
        <f t="shared" si="67"/>
        <v>81871835.343002662</v>
      </c>
      <c r="O258" s="4">
        <f t="shared" si="68"/>
        <v>81871835.343002662</v>
      </c>
      <c r="P258" s="4">
        <f t="shared" si="69"/>
        <v>0</v>
      </c>
      <c r="T258" s="4">
        <f t="shared" si="70"/>
        <v>8174.5563319970925</v>
      </c>
      <c r="U258" s="4">
        <f t="shared" si="71"/>
        <v>81871835.343002662</v>
      </c>
      <c r="V258" s="4">
        <f t="shared" si="72"/>
        <v>81871835.343002662</v>
      </c>
      <c r="W258" s="4">
        <f t="shared" si="73"/>
        <v>0</v>
      </c>
      <c r="X258" s="5">
        <f t="shared" si="74"/>
        <v>336787200</v>
      </c>
      <c r="Y258" s="5">
        <f t="shared" si="75"/>
        <v>0</v>
      </c>
      <c r="Z258" s="5">
        <f t="shared" si="75"/>
        <v>0</v>
      </c>
      <c r="AB258" s="5">
        <f t="shared" si="63"/>
        <v>-2011.1999999999971</v>
      </c>
      <c r="AC258" s="4">
        <f t="shared" si="76"/>
        <v>-16440667.694912529</v>
      </c>
      <c r="AD258" s="4">
        <f t="shared" si="77"/>
        <v>-21720959.99999997</v>
      </c>
      <c r="AE258" s="5">
        <f t="shared" si="78"/>
        <v>0</v>
      </c>
      <c r="AF258" s="3" t="str">
        <f t="shared" si="79"/>
        <v>N</v>
      </c>
      <c r="AH258" s="4">
        <f t="shared" si="80"/>
        <v>254915364.65699732</v>
      </c>
      <c r="AI258" s="4">
        <f t="shared" si="81"/>
        <v>336787200</v>
      </c>
    </row>
    <row r="259" spans="1:35">
      <c r="A259" s="3">
        <v>257</v>
      </c>
      <c r="B259" s="3" t="s">
        <v>922</v>
      </c>
      <c r="C259" s="3" t="s">
        <v>667</v>
      </c>
      <c r="D259" s="4">
        <v>684</v>
      </c>
      <c r="E259" s="4">
        <v>9655931.3171287831</v>
      </c>
      <c r="F259" s="4">
        <v>0</v>
      </c>
      <c r="G259" s="4">
        <v>0</v>
      </c>
      <c r="H259" s="4">
        <f t="shared" si="64"/>
        <v>9655931.3171287831</v>
      </c>
      <c r="I259" s="4">
        <f t="shared" si="65"/>
        <v>14116.858650773074</v>
      </c>
      <c r="J259" s="4">
        <v>618.6</v>
      </c>
      <c r="K259" s="5">
        <f t="shared" si="66"/>
        <v>618.6</v>
      </c>
      <c r="L259" s="4">
        <v>13600</v>
      </c>
      <c r="M259" s="4">
        <f t="shared" ref="M259:M322" si="82">(L259-I259)*K259+E259</f>
        <v>9336202.5557605587</v>
      </c>
      <c r="N259" s="4">
        <f t="shared" si="67"/>
        <v>-319728.76136822376</v>
      </c>
      <c r="O259" s="4">
        <f t="shared" si="68"/>
        <v>0</v>
      </c>
      <c r="P259" s="4">
        <f t="shared" si="69"/>
        <v>-319728.76136822376</v>
      </c>
      <c r="T259" s="4">
        <f t="shared" si="70"/>
        <v>14116.858650773074</v>
      </c>
      <c r="U259" s="4">
        <f t="shared" si="71"/>
        <v>-319728.76136822376</v>
      </c>
      <c r="V259" s="4">
        <f t="shared" si="72"/>
        <v>0</v>
      </c>
      <c r="W259" s="4">
        <f t="shared" si="73"/>
        <v>-319728.76136822376</v>
      </c>
      <c r="X259" s="5">
        <f t="shared" si="74"/>
        <v>9336202.5557605587</v>
      </c>
      <c r="Y259" s="5">
        <f t="shared" si="75"/>
        <v>0</v>
      </c>
      <c r="Z259" s="5">
        <f t="shared" si="75"/>
        <v>0</v>
      </c>
      <c r="AB259" s="5">
        <f t="shared" ref="AB259:AB322" si="83">D259-J259</f>
        <v>65.399999999999977</v>
      </c>
      <c r="AC259" s="4">
        <f t="shared" si="76"/>
        <v>923242.55576055869</v>
      </c>
      <c r="AD259" s="4">
        <f t="shared" si="77"/>
        <v>889439.99999999965</v>
      </c>
      <c r="AE259" s="5">
        <f t="shared" si="78"/>
        <v>33802.555760559044</v>
      </c>
      <c r="AF259" s="3" t="str">
        <f t="shared" si="79"/>
        <v>Y</v>
      </c>
      <c r="AH259" s="4">
        <f t="shared" si="80"/>
        <v>8732688.7613682244</v>
      </c>
      <c r="AI259" s="4">
        <f t="shared" si="81"/>
        <v>8412960</v>
      </c>
    </row>
    <row r="260" spans="1:35">
      <c r="A260" s="3">
        <v>258</v>
      </c>
      <c r="B260" s="3" t="s">
        <v>923</v>
      </c>
      <c r="C260" s="3" t="s">
        <v>667</v>
      </c>
      <c r="D260" s="4">
        <v>116</v>
      </c>
      <c r="E260" s="4">
        <v>3229062.8580047041</v>
      </c>
      <c r="F260" s="4">
        <v>0</v>
      </c>
      <c r="G260" s="4">
        <v>0</v>
      </c>
      <c r="H260" s="4">
        <f t="shared" ref="H260:H323" si="84">E260+F260</f>
        <v>3229062.8580047041</v>
      </c>
      <c r="I260" s="4">
        <f t="shared" ref="I260:I323" si="85">E260/D260</f>
        <v>27836.748775902623</v>
      </c>
      <c r="J260" s="4">
        <v>50.3</v>
      </c>
      <c r="K260" s="5">
        <f t="shared" ref="K260:K323" si="86">MIN(D260,J260)</f>
        <v>50.3</v>
      </c>
      <c r="L260" s="4">
        <v>31150</v>
      </c>
      <c r="M260" s="4">
        <f t="shared" si="82"/>
        <v>3395719.3945768024</v>
      </c>
      <c r="N260" s="4">
        <f t="shared" ref="N260:N323" si="87">(L260-I260)*K260</f>
        <v>166656.53657209806</v>
      </c>
      <c r="O260" s="4">
        <f t="shared" ref="O260:O323" si="88">IF(N260&gt;0,N260,0)</f>
        <v>166656.53657209806</v>
      </c>
      <c r="P260" s="4">
        <f t="shared" ref="P260:P323" si="89">IF(N260&lt;0,N260,0)</f>
        <v>0</v>
      </c>
      <c r="T260" s="4">
        <f t="shared" ref="T260:T277" si="90">H260/D260</f>
        <v>27836.748775902623</v>
      </c>
      <c r="U260" s="4">
        <f t="shared" ref="U260:U323" si="91">(L260-T260)*K260</f>
        <v>166656.53657209806</v>
      </c>
      <c r="V260" s="4">
        <f t="shared" ref="V260:V323" si="92">IF(U260&gt;0,U260,0)</f>
        <v>166656.53657209806</v>
      </c>
      <c r="W260" s="4">
        <f t="shared" ref="W260:W323" si="93">IF(U260&lt;0,U260,0)</f>
        <v>0</v>
      </c>
      <c r="X260" s="5">
        <f t="shared" ref="X260:X323" si="94">H260+U260</f>
        <v>3395719.3945768024</v>
      </c>
      <c r="Y260" s="5">
        <f t="shared" ref="Y260:Z323" si="95">O260-V260</f>
        <v>0</v>
      </c>
      <c r="Z260" s="5">
        <f t="shared" si="95"/>
        <v>0</v>
      </c>
      <c r="AB260" s="5">
        <f t="shared" si="83"/>
        <v>65.7</v>
      </c>
      <c r="AC260" s="4">
        <f t="shared" ref="AC260:AC323" si="96">T260*AB260</f>
        <v>1828874.3945768024</v>
      </c>
      <c r="AD260" s="4">
        <f t="shared" ref="AD260:AD323" si="97">L260*AB260</f>
        <v>2046555</v>
      </c>
      <c r="AE260" s="5">
        <f t="shared" ref="AE260:AE323" si="98">IF(AB260&gt;0,AC260-AD260,0)</f>
        <v>-217680.60542319762</v>
      </c>
      <c r="AF260" s="3" t="str">
        <f t="shared" ref="AF260:AF323" si="99">IF(AE260&gt;0,"Y","N")</f>
        <v>N</v>
      </c>
      <c r="AH260" s="4">
        <f t="shared" ref="AH260:AH323" si="100">K260*T260</f>
        <v>1400188.4634279017</v>
      </c>
      <c r="AI260" s="4">
        <f t="shared" ref="AI260:AI323" si="101">K260*L260</f>
        <v>1566845</v>
      </c>
    </row>
    <row r="261" spans="1:35">
      <c r="A261" s="3">
        <v>259</v>
      </c>
      <c r="B261" s="3" t="s">
        <v>924</v>
      </c>
      <c r="C261" s="3" t="s">
        <v>667</v>
      </c>
      <c r="D261" s="4">
        <v>600</v>
      </c>
      <c r="E261" s="4">
        <v>8825353.4705145191</v>
      </c>
      <c r="F261" s="4">
        <v>0</v>
      </c>
      <c r="G261" s="4">
        <v>0</v>
      </c>
      <c r="H261" s="4">
        <f t="shared" si="84"/>
        <v>8825353.4705145191</v>
      </c>
      <c r="I261" s="4">
        <f t="shared" si="85"/>
        <v>14708.922450857532</v>
      </c>
      <c r="J261" s="4">
        <v>473</v>
      </c>
      <c r="K261" s="5">
        <f t="shared" si="86"/>
        <v>473</v>
      </c>
      <c r="L261" s="4">
        <v>16900</v>
      </c>
      <c r="M261" s="4">
        <f t="shared" si="82"/>
        <v>9861733.1512589063</v>
      </c>
      <c r="N261" s="4">
        <f t="shared" si="87"/>
        <v>1036379.6807443876</v>
      </c>
      <c r="O261" s="4">
        <f t="shared" si="88"/>
        <v>1036379.6807443876</v>
      </c>
      <c r="P261" s="4">
        <f t="shared" si="89"/>
        <v>0</v>
      </c>
      <c r="T261" s="4">
        <f t="shared" si="90"/>
        <v>14708.922450857532</v>
      </c>
      <c r="U261" s="4">
        <f t="shared" si="91"/>
        <v>1036379.6807443876</v>
      </c>
      <c r="V261" s="4">
        <f t="shared" si="92"/>
        <v>1036379.6807443876</v>
      </c>
      <c r="W261" s="4">
        <f t="shared" si="93"/>
        <v>0</v>
      </c>
      <c r="X261" s="5">
        <f t="shared" si="94"/>
        <v>9861733.1512589063</v>
      </c>
      <c r="Y261" s="5">
        <f t="shared" si="95"/>
        <v>0</v>
      </c>
      <c r="Z261" s="5">
        <f t="shared" si="95"/>
        <v>0</v>
      </c>
      <c r="AB261" s="5">
        <f t="shared" si="83"/>
        <v>127</v>
      </c>
      <c r="AC261" s="4">
        <f t="shared" si="96"/>
        <v>1868033.1512589066</v>
      </c>
      <c r="AD261" s="4">
        <f t="shared" si="97"/>
        <v>2146300</v>
      </c>
      <c r="AE261" s="5">
        <f t="shared" si="98"/>
        <v>-278266.84874109342</v>
      </c>
      <c r="AF261" s="3" t="str">
        <f t="shared" si="99"/>
        <v>N</v>
      </c>
      <c r="AH261" s="4">
        <f t="shared" si="100"/>
        <v>6957320.3192556128</v>
      </c>
      <c r="AI261" s="4">
        <f t="shared" si="101"/>
        <v>7993700</v>
      </c>
    </row>
    <row r="262" spans="1:35">
      <c r="A262" s="3">
        <v>260</v>
      </c>
      <c r="B262" s="3" t="s">
        <v>925</v>
      </c>
      <c r="C262" s="3" t="s">
        <v>667</v>
      </c>
      <c r="D262" s="4">
        <v>500</v>
      </c>
      <c r="E262" s="4">
        <v>7990081.5095187984</v>
      </c>
      <c r="F262" s="4">
        <v>0</v>
      </c>
      <c r="G262" s="4">
        <v>0</v>
      </c>
      <c r="H262" s="4">
        <f t="shared" si="84"/>
        <v>7990081.5095187984</v>
      </c>
      <c r="I262" s="4">
        <f t="shared" si="85"/>
        <v>15980.163019037596</v>
      </c>
      <c r="J262" s="4">
        <v>486</v>
      </c>
      <c r="K262" s="5">
        <f t="shared" si="86"/>
        <v>486</v>
      </c>
      <c r="L262" s="4">
        <v>15000</v>
      </c>
      <c r="M262" s="4">
        <f t="shared" si="82"/>
        <v>7513722.2822665265</v>
      </c>
      <c r="N262" s="4">
        <f t="shared" si="87"/>
        <v>-476359.22725227178</v>
      </c>
      <c r="O262" s="4">
        <f t="shared" si="88"/>
        <v>0</v>
      </c>
      <c r="P262" s="4">
        <f t="shared" si="89"/>
        <v>-476359.22725227178</v>
      </c>
      <c r="T262" s="4">
        <f t="shared" si="90"/>
        <v>15980.163019037596</v>
      </c>
      <c r="U262" s="4">
        <f t="shared" si="91"/>
        <v>-476359.22725227178</v>
      </c>
      <c r="V262" s="4">
        <f t="shared" si="92"/>
        <v>0</v>
      </c>
      <c r="W262" s="4">
        <f t="shared" si="93"/>
        <v>-476359.22725227178</v>
      </c>
      <c r="X262" s="5">
        <f t="shared" si="94"/>
        <v>7513722.2822665265</v>
      </c>
      <c r="Y262" s="5">
        <f t="shared" si="95"/>
        <v>0</v>
      </c>
      <c r="Z262" s="5">
        <f t="shared" si="95"/>
        <v>0</v>
      </c>
      <c r="AB262" s="5">
        <f t="shared" si="83"/>
        <v>14</v>
      </c>
      <c r="AC262" s="4">
        <f t="shared" si="96"/>
        <v>223722.28226652634</v>
      </c>
      <c r="AD262" s="4">
        <f t="shared" si="97"/>
        <v>210000</v>
      </c>
      <c r="AE262" s="5">
        <f t="shared" si="98"/>
        <v>13722.282266526337</v>
      </c>
      <c r="AF262" s="3" t="str">
        <f t="shared" si="99"/>
        <v>Y</v>
      </c>
      <c r="AH262" s="4">
        <f t="shared" si="100"/>
        <v>7766359.227252272</v>
      </c>
      <c r="AI262" s="4">
        <f t="shared" si="101"/>
        <v>7290000</v>
      </c>
    </row>
    <row r="263" spans="1:35">
      <c r="A263" s="3">
        <v>261</v>
      </c>
      <c r="B263" s="3" t="s">
        <v>926</v>
      </c>
      <c r="C263" s="3" t="s">
        <v>667</v>
      </c>
      <c r="D263" s="4">
        <v>10400</v>
      </c>
      <c r="E263" s="4">
        <v>34342117.078641742</v>
      </c>
      <c r="F263" s="4">
        <v>0</v>
      </c>
      <c r="G263" s="4">
        <v>0</v>
      </c>
      <c r="H263" s="4">
        <f t="shared" si="84"/>
        <v>34342117.078641742</v>
      </c>
      <c r="I263" s="4">
        <f t="shared" si="85"/>
        <v>3302.1266421770906</v>
      </c>
      <c r="J263" s="4">
        <v>10297</v>
      </c>
      <c r="K263" s="5">
        <f t="shared" si="86"/>
        <v>10297</v>
      </c>
      <c r="L263" s="4">
        <v>1790</v>
      </c>
      <c r="M263" s="4">
        <f t="shared" si="82"/>
        <v>18771749.044144243</v>
      </c>
      <c r="N263" s="4">
        <f t="shared" si="87"/>
        <v>-15570368.034497501</v>
      </c>
      <c r="O263" s="4">
        <f t="shared" si="88"/>
        <v>0</v>
      </c>
      <c r="P263" s="4">
        <f t="shared" si="89"/>
        <v>-15570368.034497501</v>
      </c>
      <c r="T263" s="4">
        <f t="shared" si="90"/>
        <v>3302.1266421770906</v>
      </c>
      <c r="U263" s="4">
        <f t="shared" si="91"/>
        <v>-15570368.034497501</v>
      </c>
      <c r="V263" s="4">
        <f t="shared" si="92"/>
        <v>0</v>
      </c>
      <c r="W263" s="4">
        <f t="shared" si="93"/>
        <v>-15570368.034497501</v>
      </c>
      <c r="X263" s="5">
        <f t="shared" si="94"/>
        <v>18771749.044144243</v>
      </c>
      <c r="Y263" s="5">
        <f t="shared" si="95"/>
        <v>0</v>
      </c>
      <c r="Z263" s="5">
        <f t="shared" si="95"/>
        <v>0</v>
      </c>
      <c r="AB263" s="5">
        <f t="shared" si="83"/>
        <v>103</v>
      </c>
      <c r="AC263" s="4">
        <f t="shared" si="96"/>
        <v>340119.04414424032</v>
      </c>
      <c r="AD263" s="4">
        <f t="shared" si="97"/>
        <v>184370</v>
      </c>
      <c r="AE263" s="5">
        <f t="shared" si="98"/>
        <v>155749.04414424032</v>
      </c>
      <c r="AF263" s="3" t="str">
        <f t="shared" si="99"/>
        <v>Y</v>
      </c>
      <c r="AH263" s="4">
        <f t="shared" si="100"/>
        <v>34001998.034497499</v>
      </c>
      <c r="AI263" s="4">
        <f t="shared" si="101"/>
        <v>18431630</v>
      </c>
    </row>
    <row r="264" spans="1:35">
      <c r="A264" s="3">
        <v>262</v>
      </c>
      <c r="B264" s="3" t="s">
        <v>927</v>
      </c>
      <c r="C264" s="3" t="s">
        <v>667</v>
      </c>
      <c r="D264" s="4">
        <v>300</v>
      </c>
      <c r="E264" s="4">
        <v>12328110.577383593</v>
      </c>
      <c r="F264" s="4">
        <v>0</v>
      </c>
      <c r="G264" s="4">
        <v>0</v>
      </c>
      <c r="H264" s="4">
        <f t="shared" si="84"/>
        <v>12328110.577383593</v>
      </c>
      <c r="I264" s="4">
        <f t="shared" si="85"/>
        <v>41093.701924611974</v>
      </c>
      <c r="J264" s="4">
        <v>223.3</v>
      </c>
      <c r="K264" s="5">
        <f t="shared" si="86"/>
        <v>223.3</v>
      </c>
      <c r="L264" s="4">
        <v>69400</v>
      </c>
      <c r="M264" s="4">
        <f t="shared" si="82"/>
        <v>18648906.937617738</v>
      </c>
      <c r="N264" s="4">
        <f t="shared" si="87"/>
        <v>6320796.360234146</v>
      </c>
      <c r="O264" s="4">
        <f t="shared" si="88"/>
        <v>6320796.360234146</v>
      </c>
      <c r="P264" s="4">
        <f t="shared" si="89"/>
        <v>0</v>
      </c>
      <c r="T264" s="4">
        <f t="shared" si="90"/>
        <v>41093.701924611974</v>
      </c>
      <c r="U264" s="4">
        <f t="shared" si="91"/>
        <v>6320796.360234146</v>
      </c>
      <c r="V264" s="4">
        <f t="shared" si="92"/>
        <v>6320796.360234146</v>
      </c>
      <c r="W264" s="4">
        <f t="shared" si="93"/>
        <v>0</v>
      </c>
      <c r="X264" s="5">
        <f t="shared" si="94"/>
        <v>18648906.937617738</v>
      </c>
      <c r="Y264" s="5">
        <f t="shared" si="95"/>
        <v>0</v>
      </c>
      <c r="Z264" s="5">
        <f t="shared" si="95"/>
        <v>0</v>
      </c>
      <c r="AB264" s="5">
        <f t="shared" si="83"/>
        <v>76.699999999999989</v>
      </c>
      <c r="AC264" s="4">
        <f t="shared" si="96"/>
        <v>3151886.9376177378</v>
      </c>
      <c r="AD264" s="4">
        <f t="shared" si="97"/>
        <v>5322979.9999999991</v>
      </c>
      <c r="AE264" s="5">
        <f t="shared" si="98"/>
        <v>-2171093.0623822613</v>
      </c>
      <c r="AF264" s="3" t="str">
        <f t="shared" si="99"/>
        <v>N</v>
      </c>
      <c r="AH264" s="4">
        <f t="shared" si="100"/>
        <v>9176223.6397658549</v>
      </c>
      <c r="AI264" s="4">
        <f t="shared" si="101"/>
        <v>15497020</v>
      </c>
    </row>
    <row r="265" spans="1:35">
      <c r="A265" s="3">
        <v>263</v>
      </c>
      <c r="B265" s="3" t="s">
        <v>928</v>
      </c>
      <c r="C265" s="3" t="s">
        <v>667</v>
      </c>
      <c r="D265" s="4">
        <v>1600</v>
      </c>
      <c r="E265" s="4">
        <v>25742112.513703823</v>
      </c>
      <c r="F265" s="4">
        <v>0</v>
      </c>
      <c r="G265" s="4">
        <v>0</v>
      </c>
      <c r="H265" s="4">
        <f t="shared" si="84"/>
        <v>25742112.513703823</v>
      </c>
      <c r="I265" s="4">
        <f t="shared" si="85"/>
        <v>16088.82032106489</v>
      </c>
      <c r="J265" s="4">
        <v>1571.8</v>
      </c>
      <c r="K265" s="5">
        <f t="shared" si="86"/>
        <v>1571.8</v>
      </c>
      <c r="L265" s="4">
        <v>14800</v>
      </c>
      <c r="M265" s="4">
        <f t="shared" si="82"/>
        <v>23716344.733054031</v>
      </c>
      <c r="N265" s="4">
        <f t="shared" si="87"/>
        <v>-2025767.7806497938</v>
      </c>
      <c r="O265" s="4">
        <f t="shared" si="88"/>
        <v>0</v>
      </c>
      <c r="P265" s="4">
        <f t="shared" si="89"/>
        <v>-2025767.7806497938</v>
      </c>
      <c r="T265" s="4">
        <f t="shared" si="90"/>
        <v>16088.82032106489</v>
      </c>
      <c r="U265" s="4">
        <f t="shared" si="91"/>
        <v>-2025767.7806497938</v>
      </c>
      <c r="V265" s="4">
        <f t="shared" si="92"/>
        <v>0</v>
      </c>
      <c r="W265" s="4">
        <f t="shared" si="93"/>
        <v>-2025767.7806497938</v>
      </c>
      <c r="X265" s="5">
        <f t="shared" si="94"/>
        <v>23716344.733054031</v>
      </c>
      <c r="Y265" s="5">
        <f t="shared" si="95"/>
        <v>0</v>
      </c>
      <c r="Z265" s="5">
        <f t="shared" si="95"/>
        <v>0</v>
      </c>
      <c r="AB265" s="5">
        <f t="shared" si="83"/>
        <v>28.200000000000045</v>
      </c>
      <c r="AC265" s="4">
        <f t="shared" si="96"/>
        <v>453704.73305403063</v>
      </c>
      <c r="AD265" s="4">
        <f t="shared" si="97"/>
        <v>417360.0000000007</v>
      </c>
      <c r="AE265" s="5">
        <f t="shared" si="98"/>
        <v>36344.73305402993</v>
      </c>
      <c r="AF265" s="3" t="str">
        <f t="shared" si="99"/>
        <v>Y</v>
      </c>
      <c r="AH265" s="4">
        <f t="shared" si="100"/>
        <v>25288407.780649792</v>
      </c>
      <c r="AI265" s="4">
        <f t="shared" si="101"/>
        <v>23262640</v>
      </c>
    </row>
    <row r="266" spans="1:35">
      <c r="A266" s="3">
        <v>264</v>
      </c>
      <c r="B266" s="3" t="s">
        <v>929</v>
      </c>
      <c r="C266" s="3" t="s">
        <v>667</v>
      </c>
      <c r="D266" s="4">
        <v>700</v>
      </c>
      <c r="E266" s="4">
        <v>5338201.2244972605</v>
      </c>
      <c r="F266" s="4">
        <v>0</v>
      </c>
      <c r="G266" s="4">
        <v>0</v>
      </c>
      <c r="H266" s="4">
        <f t="shared" si="84"/>
        <v>5338201.2244972605</v>
      </c>
      <c r="I266" s="4">
        <f t="shared" si="85"/>
        <v>7626.0017492818006</v>
      </c>
      <c r="J266" s="4">
        <v>682.1</v>
      </c>
      <c r="K266" s="5">
        <f t="shared" si="86"/>
        <v>682.1</v>
      </c>
      <c r="L266" s="4">
        <v>8800</v>
      </c>
      <c r="M266" s="4">
        <f t="shared" si="82"/>
        <v>6138985.4313121447</v>
      </c>
      <c r="N266" s="4">
        <f t="shared" si="87"/>
        <v>800784.20681488386</v>
      </c>
      <c r="O266" s="4">
        <f t="shared" si="88"/>
        <v>800784.20681488386</v>
      </c>
      <c r="P266" s="4">
        <f t="shared" si="89"/>
        <v>0</v>
      </c>
      <c r="T266" s="4">
        <f t="shared" si="90"/>
        <v>7626.0017492818006</v>
      </c>
      <c r="U266" s="4">
        <f t="shared" si="91"/>
        <v>800784.20681488386</v>
      </c>
      <c r="V266" s="4">
        <f t="shared" si="92"/>
        <v>800784.20681488386</v>
      </c>
      <c r="W266" s="4">
        <f t="shared" si="93"/>
        <v>0</v>
      </c>
      <c r="X266" s="5">
        <f t="shared" si="94"/>
        <v>6138985.4313121447</v>
      </c>
      <c r="Y266" s="5">
        <f t="shared" si="95"/>
        <v>0</v>
      </c>
      <c r="Z266" s="5">
        <f t="shared" si="95"/>
        <v>0</v>
      </c>
      <c r="AB266" s="5">
        <f t="shared" si="83"/>
        <v>17.899999999999977</v>
      </c>
      <c r="AC266" s="4">
        <f t="shared" si="96"/>
        <v>136505.43131214406</v>
      </c>
      <c r="AD266" s="4">
        <f t="shared" si="97"/>
        <v>157519.9999999998</v>
      </c>
      <c r="AE266" s="5">
        <f t="shared" si="98"/>
        <v>-21014.568687855732</v>
      </c>
      <c r="AF266" s="3" t="str">
        <f t="shared" si="99"/>
        <v>N</v>
      </c>
      <c r="AH266" s="4">
        <f t="shared" si="100"/>
        <v>5201695.7931851167</v>
      </c>
      <c r="AI266" s="4">
        <f t="shared" si="101"/>
        <v>6002480</v>
      </c>
    </row>
    <row r="267" spans="1:35">
      <c r="A267" s="3">
        <v>265</v>
      </c>
      <c r="B267" s="3" t="s">
        <v>930</v>
      </c>
      <c r="C267" s="3" t="s">
        <v>667</v>
      </c>
      <c r="D267" s="4">
        <v>100</v>
      </c>
      <c r="E267" s="4">
        <v>4240511.5829103459</v>
      </c>
      <c r="F267" s="4">
        <v>0</v>
      </c>
      <c r="G267" s="4">
        <v>0</v>
      </c>
      <c r="H267" s="4">
        <f t="shared" si="84"/>
        <v>4240511.5829103459</v>
      </c>
      <c r="I267" s="4">
        <f t="shared" si="85"/>
        <v>42405.115829103459</v>
      </c>
      <c r="J267" s="4">
        <v>43</v>
      </c>
      <c r="K267" s="5">
        <f t="shared" si="86"/>
        <v>43</v>
      </c>
      <c r="L267" s="4">
        <v>37000</v>
      </c>
      <c r="M267" s="4">
        <f t="shared" si="82"/>
        <v>4008091.6022588969</v>
      </c>
      <c r="N267" s="4">
        <f t="shared" si="87"/>
        <v>-232419.98065144874</v>
      </c>
      <c r="O267" s="4">
        <f t="shared" si="88"/>
        <v>0</v>
      </c>
      <c r="P267" s="4">
        <f t="shared" si="89"/>
        <v>-232419.98065144874</v>
      </c>
      <c r="T267" s="4">
        <f t="shared" si="90"/>
        <v>42405.115829103459</v>
      </c>
      <c r="U267" s="4">
        <f t="shared" si="91"/>
        <v>-232419.98065144874</v>
      </c>
      <c r="V267" s="4">
        <f t="shared" si="92"/>
        <v>0</v>
      </c>
      <c r="W267" s="4">
        <f t="shared" si="93"/>
        <v>-232419.98065144874</v>
      </c>
      <c r="X267" s="5">
        <f t="shared" si="94"/>
        <v>4008091.6022588969</v>
      </c>
      <c r="Y267" s="5">
        <f t="shared" si="95"/>
        <v>0</v>
      </c>
      <c r="Z267" s="5">
        <f t="shared" si="95"/>
        <v>0</v>
      </c>
      <c r="AB267" s="5">
        <f t="shared" si="83"/>
        <v>57</v>
      </c>
      <c r="AC267" s="4">
        <f t="shared" si="96"/>
        <v>2417091.6022588974</v>
      </c>
      <c r="AD267" s="4">
        <f t="shared" si="97"/>
        <v>2109000</v>
      </c>
      <c r="AE267" s="5">
        <f t="shared" si="98"/>
        <v>308091.60225889739</v>
      </c>
      <c r="AF267" s="3" t="str">
        <f t="shared" si="99"/>
        <v>Y</v>
      </c>
      <c r="AH267" s="4">
        <f t="shared" si="100"/>
        <v>1823419.9806514487</v>
      </c>
      <c r="AI267" s="4">
        <f t="shared" si="101"/>
        <v>1591000</v>
      </c>
    </row>
    <row r="268" spans="1:35">
      <c r="A268" s="3">
        <v>266</v>
      </c>
      <c r="B268" s="3" t="s">
        <v>931</v>
      </c>
      <c r="C268" s="3" t="s">
        <v>667</v>
      </c>
      <c r="D268" s="4">
        <v>1460</v>
      </c>
      <c r="E268" s="4">
        <v>15025409.940965112</v>
      </c>
      <c r="F268" s="4">
        <v>0</v>
      </c>
      <c r="G268" s="4">
        <v>0</v>
      </c>
      <c r="H268" s="4">
        <f t="shared" si="84"/>
        <v>15025409.940965112</v>
      </c>
      <c r="I268" s="4">
        <f t="shared" si="85"/>
        <v>10291.376671893913</v>
      </c>
      <c r="J268" s="4">
        <v>1452.9</v>
      </c>
      <c r="K268" s="5">
        <f t="shared" si="86"/>
        <v>1452.9</v>
      </c>
      <c r="L268" s="4">
        <v>10250</v>
      </c>
      <c r="M268" s="4">
        <f t="shared" si="82"/>
        <v>14965293.774370445</v>
      </c>
      <c r="N268" s="4">
        <f t="shared" si="87"/>
        <v>-60116.166594666531</v>
      </c>
      <c r="O268" s="4">
        <f t="shared" si="88"/>
        <v>0</v>
      </c>
      <c r="P268" s="4">
        <f t="shared" si="89"/>
        <v>-60116.166594666531</v>
      </c>
      <c r="T268" s="4">
        <f t="shared" si="90"/>
        <v>10291.376671893913</v>
      </c>
      <c r="U268" s="4">
        <f t="shared" si="91"/>
        <v>-60116.166594666531</v>
      </c>
      <c r="V268" s="4">
        <f t="shared" si="92"/>
        <v>0</v>
      </c>
      <c r="W268" s="4">
        <f t="shared" si="93"/>
        <v>-60116.166594666531</v>
      </c>
      <c r="X268" s="5">
        <f t="shared" si="94"/>
        <v>14965293.774370445</v>
      </c>
      <c r="Y268" s="5">
        <f t="shared" si="95"/>
        <v>0</v>
      </c>
      <c r="Z268" s="5">
        <f t="shared" si="95"/>
        <v>0</v>
      </c>
      <c r="AB268" s="5">
        <f t="shared" si="83"/>
        <v>7.0999999999999091</v>
      </c>
      <c r="AC268" s="4">
        <f t="shared" si="96"/>
        <v>73068.774370445841</v>
      </c>
      <c r="AD268" s="4">
        <f t="shared" si="97"/>
        <v>72774.999999999069</v>
      </c>
      <c r="AE268" s="5">
        <f t="shared" si="98"/>
        <v>293.77437044677208</v>
      </c>
      <c r="AF268" s="3" t="str">
        <f t="shared" si="99"/>
        <v>Y</v>
      </c>
      <c r="AH268" s="4">
        <f t="shared" si="100"/>
        <v>14952341.166594667</v>
      </c>
      <c r="AI268" s="4">
        <f t="shared" si="101"/>
        <v>14892225.000000002</v>
      </c>
    </row>
    <row r="269" spans="1:35">
      <c r="A269" s="3">
        <v>267</v>
      </c>
      <c r="B269" s="3" t="s">
        <v>932</v>
      </c>
      <c r="C269" s="3" t="s">
        <v>667</v>
      </c>
      <c r="D269" s="4">
        <v>400</v>
      </c>
      <c r="E269" s="4">
        <v>8279069.7115635779</v>
      </c>
      <c r="F269" s="4">
        <v>0</v>
      </c>
      <c r="G269" s="4">
        <v>0</v>
      </c>
      <c r="H269" s="4">
        <f t="shared" si="84"/>
        <v>8279069.7115635779</v>
      </c>
      <c r="I269" s="4">
        <f t="shared" si="85"/>
        <v>20697.674278908944</v>
      </c>
      <c r="J269" s="4">
        <v>306.89999999999998</v>
      </c>
      <c r="K269" s="5">
        <f t="shared" si="86"/>
        <v>306.89999999999998</v>
      </c>
      <c r="L269" s="4">
        <v>30000</v>
      </c>
      <c r="M269" s="4">
        <f t="shared" si="82"/>
        <v>11133953.475366423</v>
      </c>
      <c r="N269" s="4">
        <f t="shared" si="87"/>
        <v>2854883.763802845</v>
      </c>
      <c r="O269" s="4">
        <f t="shared" si="88"/>
        <v>2854883.763802845</v>
      </c>
      <c r="P269" s="4">
        <f t="shared" si="89"/>
        <v>0</v>
      </c>
      <c r="T269" s="4">
        <f t="shared" si="90"/>
        <v>20697.674278908944</v>
      </c>
      <c r="U269" s="4">
        <f t="shared" si="91"/>
        <v>2854883.763802845</v>
      </c>
      <c r="V269" s="4">
        <f t="shared" si="92"/>
        <v>2854883.763802845</v>
      </c>
      <c r="W269" s="4">
        <f t="shared" si="93"/>
        <v>0</v>
      </c>
      <c r="X269" s="5">
        <f t="shared" si="94"/>
        <v>11133953.475366423</v>
      </c>
      <c r="Y269" s="5">
        <f t="shared" si="95"/>
        <v>0</v>
      </c>
      <c r="Z269" s="5">
        <f t="shared" si="95"/>
        <v>0</v>
      </c>
      <c r="AB269" s="5">
        <f t="shared" si="83"/>
        <v>93.100000000000023</v>
      </c>
      <c r="AC269" s="4">
        <f t="shared" si="96"/>
        <v>1926953.4753664231</v>
      </c>
      <c r="AD269" s="4">
        <f t="shared" si="97"/>
        <v>2793000.0000000005</v>
      </c>
      <c r="AE269" s="5">
        <f t="shared" si="98"/>
        <v>-866046.52463357733</v>
      </c>
      <c r="AF269" s="3" t="str">
        <f t="shared" si="99"/>
        <v>N</v>
      </c>
      <c r="AH269" s="4">
        <f t="shared" si="100"/>
        <v>6352116.236197154</v>
      </c>
      <c r="AI269" s="4">
        <f t="shared" si="101"/>
        <v>9207000</v>
      </c>
    </row>
    <row r="270" spans="1:35">
      <c r="A270" s="3">
        <v>268</v>
      </c>
      <c r="B270" s="3" t="s">
        <v>933</v>
      </c>
      <c r="C270" s="3" t="s">
        <v>667</v>
      </c>
      <c r="D270" s="4">
        <v>1800</v>
      </c>
      <c r="E270" s="4">
        <v>17069298.732065331</v>
      </c>
      <c r="F270" s="4">
        <v>0</v>
      </c>
      <c r="G270" s="4">
        <v>0</v>
      </c>
      <c r="H270" s="4">
        <f t="shared" si="84"/>
        <v>17069298.732065331</v>
      </c>
      <c r="I270" s="4">
        <f t="shared" si="85"/>
        <v>9482.9437400362949</v>
      </c>
      <c r="J270" s="4">
        <v>1791</v>
      </c>
      <c r="K270" s="5">
        <f t="shared" si="86"/>
        <v>1791</v>
      </c>
      <c r="L270" s="4">
        <v>8300</v>
      </c>
      <c r="M270" s="4">
        <f t="shared" si="82"/>
        <v>14950646.493660327</v>
      </c>
      <c r="N270" s="4">
        <f t="shared" si="87"/>
        <v>-2118652.2384050041</v>
      </c>
      <c r="O270" s="4">
        <f t="shared" si="88"/>
        <v>0</v>
      </c>
      <c r="P270" s="4">
        <f t="shared" si="89"/>
        <v>-2118652.2384050041</v>
      </c>
      <c r="T270" s="4">
        <f t="shared" si="90"/>
        <v>9482.9437400362949</v>
      </c>
      <c r="U270" s="4">
        <f t="shared" si="91"/>
        <v>-2118652.2384050041</v>
      </c>
      <c r="V270" s="4">
        <f t="shared" si="92"/>
        <v>0</v>
      </c>
      <c r="W270" s="4">
        <f t="shared" si="93"/>
        <v>-2118652.2384050041</v>
      </c>
      <c r="X270" s="5">
        <f t="shared" si="94"/>
        <v>14950646.493660327</v>
      </c>
      <c r="Y270" s="5">
        <f t="shared" si="95"/>
        <v>0</v>
      </c>
      <c r="Z270" s="5">
        <f t="shared" si="95"/>
        <v>0</v>
      </c>
      <c r="AB270" s="5">
        <f t="shared" si="83"/>
        <v>9</v>
      </c>
      <c r="AC270" s="4">
        <f t="shared" si="96"/>
        <v>85346.493660326654</v>
      </c>
      <c r="AD270" s="4">
        <f t="shared" si="97"/>
        <v>74700</v>
      </c>
      <c r="AE270" s="5">
        <f t="shared" si="98"/>
        <v>10646.493660326654</v>
      </c>
      <c r="AF270" s="3" t="str">
        <f t="shared" si="99"/>
        <v>Y</v>
      </c>
      <c r="AH270" s="4">
        <f t="shared" si="100"/>
        <v>16983952.238405004</v>
      </c>
      <c r="AI270" s="4">
        <f t="shared" si="101"/>
        <v>14865300</v>
      </c>
    </row>
    <row r="271" spans="1:35">
      <c r="A271" s="3">
        <v>269</v>
      </c>
      <c r="B271" s="3" t="s">
        <v>934</v>
      </c>
      <c r="C271" s="3" t="s">
        <v>667</v>
      </c>
      <c r="D271" s="4">
        <v>258</v>
      </c>
      <c r="E271" s="4">
        <v>4121490.806132568</v>
      </c>
      <c r="F271" s="4">
        <v>0</v>
      </c>
      <c r="G271" s="4">
        <v>0</v>
      </c>
      <c r="H271" s="4">
        <f t="shared" si="84"/>
        <v>4121490.806132568</v>
      </c>
      <c r="I271" s="4">
        <f t="shared" si="85"/>
        <v>15974.770566405303</v>
      </c>
      <c r="J271" s="4">
        <v>222.1</v>
      </c>
      <c r="K271" s="5">
        <f t="shared" si="86"/>
        <v>222.1</v>
      </c>
      <c r="L271" s="4">
        <v>23900</v>
      </c>
      <c r="M271" s="4">
        <f t="shared" si="82"/>
        <v>5881684.2633339502</v>
      </c>
      <c r="N271" s="4">
        <f t="shared" si="87"/>
        <v>1760193.4572013821</v>
      </c>
      <c r="O271" s="4">
        <f t="shared" si="88"/>
        <v>1760193.4572013821</v>
      </c>
      <c r="P271" s="4">
        <f t="shared" si="89"/>
        <v>0</v>
      </c>
      <c r="T271" s="4">
        <f t="shared" si="90"/>
        <v>15974.770566405303</v>
      </c>
      <c r="U271" s="4">
        <f t="shared" si="91"/>
        <v>1760193.4572013821</v>
      </c>
      <c r="V271" s="4">
        <f t="shared" si="92"/>
        <v>1760193.4572013821</v>
      </c>
      <c r="W271" s="4">
        <f t="shared" si="93"/>
        <v>0</v>
      </c>
      <c r="X271" s="5">
        <f t="shared" si="94"/>
        <v>5881684.2633339502</v>
      </c>
      <c r="Y271" s="5">
        <f t="shared" si="95"/>
        <v>0</v>
      </c>
      <c r="Z271" s="5">
        <f t="shared" si="95"/>
        <v>0</v>
      </c>
      <c r="AB271" s="5">
        <f t="shared" si="83"/>
        <v>35.900000000000006</v>
      </c>
      <c r="AC271" s="4">
        <f t="shared" si="96"/>
        <v>573494.26333395042</v>
      </c>
      <c r="AD271" s="4">
        <f t="shared" si="97"/>
        <v>858010.00000000012</v>
      </c>
      <c r="AE271" s="5">
        <f t="shared" si="98"/>
        <v>-284515.73666604969</v>
      </c>
      <c r="AF271" s="3" t="str">
        <f t="shared" si="99"/>
        <v>N</v>
      </c>
      <c r="AH271" s="4">
        <f t="shared" si="100"/>
        <v>3547996.5427986179</v>
      </c>
      <c r="AI271" s="4">
        <f t="shared" si="101"/>
        <v>5308190</v>
      </c>
    </row>
    <row r="272" spans="1:35">
      <c r="A272" s="3">
        <v>270</v>
      </c>
      <c r="B272" s="3" t="s">
        <v>935</v>
      </c>
      <c r="C272" s="3" t="s">
        <v>667</v>
      </c>
      <c r="D272" s="4">
        <v>46650</v>
      </c>
      <c r="E272" s="4">
        <v>964465042.31566238</v>
      </c>
      <c r="F272" s="4">
        <v>0</v>
      </c>
      <c r="G272" s="4">
        <v>0</v>
      </c>
      <c r="H272" s="4">
        <f t="shared" si="84"/>
        <v>964465042.31566238</v>
      </c>
      <c r="I272" s="4">
        <f t="shared" si="85"/>
        <v>20674.491796691585</v>
      </c>
      <c r="J272" s="4">
        <v>46905.7</v>
      </c>
      <c r="K272" s="5">
        <f t="shared" si="86"/>
        <v>46650</v>
      </c>
      <c r="L272" s="4">
        <v>32800</v>
      </c>
      <c r="M272" s="4">
        <f t="shared" si="82"/>
        <v>1530120000</v>
      </c>
      <c r="N272" s="4">
        <f t="shared" si="87"/>
        <v>565654957.6843375</v>
      </c>
      <c r="O272" s="4">
        <f t="shared" si="88"/>
        <v>565654957.6843375</v>
      </c>
      <c r="P272" s="4">
        <f t="shared" si="89"/>
        <v>0</v>
      </c>
      <c r="T272" s="4">
        <f t="shared" si="90"/>
        <v>20674.491796691585</v>
      </c>
      <c r="U272" s="4">
        <f t="shared" si="91"/>
        <v>565654957.6843375</v>
      </c>
      <c r="V272" s="4">
        <f t="shared" si="92"/>
        <v>565654957.6843375</v>
      </c>
      <c r="W272" s="4">
        <f t="shared" si="93"/>
        <v>0</v>
      </c>
      <c r="X272" s="5">
        <f t="shared" si="94"/>
        <v>1530120000</v>
      </c>
      <c r="Y272" s="5">
        <f t="shared" si="95"/>
        <v>0</v>
      </c>
      <c r="Z272" s="5">
        <f t="shared" si="95"/>
        <v>0</v>
      </c>
      <c r="AB272" s="5">
        <f t="shared" si="83"/>
        <v>-255.69999999999709</v>
      </c>
      <c r="AC272" s="4">
        <f t="shared" si="96"/>
        <v>-5286467.5524139786</v>
      </c>
      <c r="AD272" s="4">
        <f t="shared" si="97"/>
        <v>-8386959.999999905</v>
      </c>
      <c r="AE272" s="5">
        <f t="shared" si="98"/>
        <v>0</v>
      </c>
      <c r="AF272" s="3" t="str">
        <f t="shared" si="99"/>
        <v>N</v>
      </c>
      <c r="AH272" s="4">
        <f t="shared" si="100"/>
        <v>964465042.3156625</v>
      </c>
      <c r="AI272" s="4">
        <f t="shared" si="101"/>
        <v>1530120000</v>
      </c>
    </row>
    <row r="273" spans="1:35">
      <c r="A273" s="3">
        <v>271</v>
      </c>
      <c r="B273" s="3" t="s">
        <v>936</v>
      </c>
      <c r="C273" s="3" t="s">
        <v>667</v>
      </c>
      <c r="D273" s="4">
        <v>5900</v>
      </c>
      <c r="E273" s="4">
        <v>149413207.49295482</v>
      </c>
      <c r="F273" s="4">
        <v>0</v>
      </c>
      <c r="G273" s="4">
        <v>0</v>
      </c>
      <c r="H273" s="4">
        <f t="shared" si="84"/>
        <v>149413207.49295482</v>
      </c>
      <c r="I273" s="4">
        <f t="shared" si="85"/>
        <v>25324.27245643302</v>
      </c>
      <c r="J273" s="4">
        <v>5853.1</v>
      </c>
      <c r="K273" s="5">
        <f t="shared" si="86"/>
        <v>5853.1</v>
      </c>
      <c r="L273" s="4">
        <v>27950</v>
      </c>
      <c r="M273" s="4">
        <f t="shared" si="82"/>
        <v>164781853.3782067</v>
      </c>
      <c r="N273" s="4">
        <f t="shared" si="87"/>
        <v>15368645.885251891</v>
      </c>
      <c r="O273" s="4">
        <f t="shared" si="88"/>
        <v>15368645.885251891</v>
      </c>
      <c r="P273" s="4">
        <f t="shared" si="89"/>
        <v>0</v>
      </c>
      <c r="T273" s="4">
        <f t="shared" si="90"/>
        <v>25324.27245643302</v>
      </c>
      <c r="U273" s="4">
        <f t="shared" si="91"/>
        <v>15368645.885251891</v>
      </c>
      <c r="V273" s="4">
        <f t="shared" si="92"/>
        <v>15368645.885251891</v>
      </c>
      <c r="W273" s="4">
        <f t="shared" si="93"/>
        <v>0</v>
      </c>
      <c r="X273" s="5">
        <f t="shared" si="94"/>
        <v>164781853.3782067</v>
      </c>
      <c r="Y273" s="5">
        <f t="shared" si="95"/>
        <v>0</v>
      </c>
      <c r="Z273" s="5">
        <f t="shared" si="95"/>
        <v>0</v>
      </c>
      <c r="AB273" s="5">
        <f t="shared" si="83"/>
        <v>46.899999999999636</v>
      </c>
      <c r="AC273" s="4">
        <f t="shared" si="96"/>
        <v>1187708.3782066994</v>
      </c>
      <c r="AD273" s="4">
        <f t="shared" si="97"/>
        <v>1310854.9999999898</v>
      </c>
      <c r="AE273" s="5">
        <f t="shared" si="98"/>
        <v>-123146.62179329037</v>
      </c>
      <c r="AF273" s="3" t="str">
        <f t="shared" si="99"/>
        <v>N</v>
      </c>
      <c r="AH273" s="4">
        <f t="shared" si="100"/>
        <v>148225499.11474812</v>
      </c>
      <c r="AI273" s="4">
        <f t="shared" si="101"/>
        <v>163594145</v>
      </c>
    </row>
    <row r="274" spans="1:35">
      <c r="A274" s="3">
        <v>272</v>
      </c>
      <c r="B274" s="3" t="s">
        <v>937</v>
      </c>
      <c r="C274" s="3" t="s">
        <v>667</v>
      </c>
      <c r="D274" s="4">
        <v>300</v>
      </c>
      <c r="E274" s="4">
        <v>15858889.751618214</v>
      </c>
      <c r="F274" s="4">
        <v>0</v>
      </c>
      <c r="G274" s="4">
        <v>0</v>
      </c>
      <c r="H274" s="4">
        <f t="shared" si="84"/>
        <v>15858889.751618214</v>
      </c>
      <c r="I274" s="4">
        <f t="shared" si="85"/>
        <v>52862.965838727381</v>
      </c>
      <c r="J274" s="4">
        <v>267</v>
      </c>
      <c r="K274" s="5">
        <f t="shared" si="86"/>
        <v>267</v>
      </c>
      <c r="L274" s="4">
        <v>48900</v>
      </c>
      <c r="M274" s="4">
        <f t="shared" si="82"/>
        <v>14800777.872678004</v>
      </c>
      <c r="N274" s="4">
        <f t="shared" si="87"/>
        <v>-1058111.8789402107</v>
      </c>
      <c r="O274" s="4">
        <f t="shared" si="88"/>
        <v>0</v>
      </c>
      <c r="P274" s="4">
        <f t="shared" si="89"/>
        <v>-1058111.8789402107</v>
      </c>
      <c r="T274" s="4">
        <f t="shared" si="90"/>
        <v>52862.965838727381</v>
      </c>
      <c r="U274" s="4">
        <f t="shared" si="91"/>
        <v>-1058111.8789402107</v>
      </c>
      <c r="V274" s="4">
        <f t="shared" si="92"/>
        <v>0</v>
      </c>
      <c r="W274" s="4">
        <f t="shared" si="93"/>
        <v>-1058111.8789402107</v>
      </c>
      <c r="X274" s="5">
        <f t="shared" si="94"/>
        <v>14800777.872678004</v>
      </c>
      <c r="Y274" s="5">
        <f t="shared" si="95"/>
        <v>0</v>
      </c>
      <c r="Z274" s="5">
        <f t="shared" si="95"/>
        <v>0</v>
      </c>
      <c r="AB274" s="5">
        <f t="shared" si="83"/>
        <v>33</v>
      </c>
      <c r="AC274" s="4">
        <f t="shared" si="96"/>
        <v>1744477.8726780035</v>
      </c>
      <c r="AD274" s="4">
        <f t="shared" si="97"/>
        <v>1613700</v>
      </c>
      <c r="AE274" s="5">
        <f t="shared" si="98"/>
        <v>130777.87267800351</v>
      </c>
      <c r="AF274" s="3" t="str">
        <f t="shared" si="99"/>
        <v>Y</v>
      </c>
      <c r="AH274" s="4">
        <f t="shared" si="100"/>
        <v>14114411.878940212</v>
      </c>
      <c r="AI274" s="4">
        <f t="shared" si="101"/>
        <v>13056300</v>
      </c>
    </row>
    <row r="275" spans="1:35">
      <c r="A275" s="3">
        <v>273</v>
      </c>
      <c r="B275" s="3" t="s">
        <v>938</v>
      </c>
      <c r="C275" s="3" t="s">
        <v>667</v>
      </c>
      <c r="D275" s="4">
        <v>888</v>
      </c>
      <c r="E275" s="4">
        <v>22203636.148217037</v>
      </c>
      <c r="F275" s="4">
        <v>0</v>
      </c>
      <c r="G275" s="4">
        <v>0</v>
      </c>
      <c r="H275" s="4">
        <f t="shared" si="84"/>
        <v>22203636.148217037</v>
      </c>
      <c r="I275" s="4">
        <f t="shared" si="85"/>
        <v>25004.094761505672</v>
      </c>
      <c r="J275" s="4">
        <v>867.3</v>
      </c>
      <c r="K275" s="5">
        <f t="shared" si="86"/>
        <v>867.3</v>
      </c>
      <c r="L275" s="4">
        <v>25950</v>
      </c>
      <c r="M275" s="4">
        <f t="shared" si="82"/>
        <v>23024019.761563167</v>
      </c>
      <c r="N275" s="4">
        <f t="shared" si="87"/>
        <v>820383.61334613059</v>
      </c>
      <c r="O275" s="4">
        <f t="shared" si="88"/>
        <v>820383.61334613059</v>
      </c>
      <c r="P275" s="4">
        <f t="shared" si="89"/>
        <v>0</v>
      </c>
      <c r="T275" s="4">
        <f t="shared" si="90"/>
        <v>25004.094761505672</v>
      </c>
      <c r="U275" s="4">
        <f t="shared" si="91"/>
        <v>820383.61334613059</v>
      </c>
      <c r="V275" s="4">
        <f t="shared" si="92"/>
        <v>820383.61334613059</v>
      </c>
      <c r="W275" s="4">
        <f t="shared" si="93"/>
        <v>0</v>
      </c>
      <c r="X275" s="5">
        <f t="shared" si="94"/>
        <v>23024019.761563167</v>
      </c>
      <c r="Y275" s="5">
        <f t="shared" si="95"/>
        <v>0</v>
      </c>
      <c r="Z275" s="5">
        <f t="shared" si="95"/>
        <v>0</v>
      </c>
      <c r="AB275" s="5">
        <f t="shared" si="83"/>
        <v>20.700000000000045</v>
      </c>
      <c r="AC275" s="4">
        <f t="shared" si="96"/>
        <v>517584.76156316855</v>
      </c>
      <c r="AD275" s="4">
        <f t="shared" si="97"/>
        <v>537165.00000000116</v>
      </c>
      <c r="AE275" s="5">
        <f t="shared" si="98"/>
        <v>-19580.238436832617</v>
      </c>
      <c r="AF275" s="3" t="str">
        <f t="shared" si="99"/>
        <v>N</v>
      </c>
      <c r="AH275" s="4">
        <f t="shared" si="100"/>
        <v>21686051.386653867</v>
      </c>
      <c r="AI275" s="4">
        <f t="shared" si="101"/>
        <v>22506435</v>
      </c>
    </row>
    <row r="276" spans="1:35">
      <c r="A276" s="3">
        <v>274</v>
      </c>
      <c r="B276" s="3" t="s">
        <v>939</v>
      </c>
      <c r="C276" s="3" t="s">
        <v>667</v>
      </c>
      <c r="D276" s="4">
        <v>3777</v>
      </c>
      <c r="E276" s="4">
        <v>16251783.159695163</v>
      </c>
      <c r="F276" s="4">
        <v>0</v>
      </c>
      <c r="G276" s="4">
        <v>0</v>
      </c>
      <c r="H276" s="4">
        <f t="shared" si="84"/>
        <v>16251783.159695163</v>
      </c>
      <c r="I276" s="4">
        <f t="shared" si="85"/>
        <v>4302.8284775470383</v>
      </c>
      <c r="J276" s="4">
        <v>3705.3</v>
      </c>
      <c r="K276" s="5">
        <f t="shared" si="86"/>
        <v>3705.3</v>
      </c>
      <c r="L276" s="4">
        <v>2400</v>
      </c>
      <c r="M276" s="4">
        <f t="shared" si="82"/>
        <v>9201232.8018401228</v>
      </c>
      <c r="N276" s="4">
        <f t="shared" si="87"/>
        <v>-7050550.3578550415</v>
      </c>
      <c r="O276" s="4">
        <f t="shared" si="88"/>
        <v>0</v>
      </c>
      <c r="P276" s="4">
        <f t="shared" si="89"/>
        <v>-7050550.3578550415</v>
      </c>
      <c r="T276" s="4">
        <f t="shared" si="90"/>
        <v>4302.8284775470383</v>
      </c>
      <c r="U276" s="4">
        <f t="shared" si="91"/>
        <v>-7050550.3578550415</v>
      </c>
      <c r="V276" s="4">
        <f t="shared" si="92"/>
        <v>0</v>
      </c>
      <c r="W276" s="4">
        <f t="shared" si="93"/>
        <v>-7050550.3578550415</v>
      </c>
      <c r="X276" s="5">
        <f t="shared" si="94"/>
        <v>9201232.8018401228</v>
      </c>
      <c r="Y276" s="5">
        <f t="shared" si="95"/>
        <v>0</v>
      </c>
      <c r="Z276" s="5">
        <f t="shared" si="95"/>
        <v>0</v>
      </c>
      <c r="AB276" s="5">
        <f t="shared" si="83"/>
        <v>71.699999999999818</v>
      </c>
      <c r="AC276" s="4">
        <f t="shared" si="96"/>
        <v>308512.80184012186</v>
      </c>
      <c r="AD276" s="4">
        <f t="shared" si="97"/>
        <v>172079.99999999956</v>
      </c>
      <c r="AE276" s="5">
        <f t="shared" si="98"/>
        <v>136432.80184012229</v>
      </c>
      <c r="AF276" s="3" t="str">
        <f t="shared" si="99"/>
        <v>Y</v>
      </c>
      <c r="AH276" s="4">
        <f t="shared" si="100"/>
        <v>15943270.357855042</v>
      </c>
      <c r="AI276" s="4">
        <f t="shared" si="101"/>
        <v>8892720</v>
      </c>
    </row>
    <row r="277" spans="1:35">
      <c r="A277" s="3">
        <v>275</v>
      </c>
      <c r="B277" s="3" t="s">
        <v>940</v>
      </c>
      <c r="C277" s="3" t="s">
        <v>667</v>
      </c>
      <c r="D277" s="4">
        <v>1900</v>
      </c>
      <c r="E277" s="4">
        <v>29060745.018302515</v>
      </c>
      <c r="F277" s="4">
        <v>0</v>
      </c>
      <c r="G277" s="4">
        <v>0</v>
      </c>
      <c r="H277" s="4">
        <f t="shared" si="84"/>
        <v>29060745.018302515</v>
      </c>
      <c r="I277" s="4">
        <f t="shared" si="85"/>
        <v>15295.128957001323</v>
      </c>
      <c r="J277" s="4">
        <v>1839</v>
      </c>
      <c r="K277" s="5">
        <f t="shared" si="86"/>
        <v>1839</v>
      </c>
      <c r="L277" s="4">
        <v>44600</v>
      </c>
      <c r="M277" s="4">
        <f t="shared" si="82"/>
        <v>82952402.866377085</v>
      </c>
      <c r="N277" s="4">
        <f t="shared" si="87"/>
        <v>53891657.848074563</v>
      </c>
      <c r="O277" s="4">
        <f t="shared" si="88"/>
        <v>53891657.848074563</v>
      </c>
      <c r="P277" s="4">
        <f t="shared" si="89"/>
        <v>0</v>
      </c>
      <c r="T277" s="4">
        <f t="shared" si="90"/>
        <v>15295.128957001323</v>
      </c>
      <c r="U277" s="4">
        <f t="shared" si="91"/>
        <v>53891657.848074563</v>
      </c>
      <c r="V277" s="4">
        <f t="shared" si="92"/>
        <v>53891657.848074563</v>
      </c>
      <c r="W277" s="4">
        <f t="shared" si="93"/>
        <v>0</v>
      </c>
      <c r="X277" s="5">
        <f t="shared" si="94"/>
        <v>82952402.866377085</v>
      </c>
      <c r="Y277" s="5">
        <f t="shared" si="95"/>
        <v>0</v>
      </c>
      <c r="Z277" s="5">
        <f t="shared" si="95"/>
        <v>0</v>
      </c>
      <c r="AB277" s="5">
        <f t="shared" si="83"/>
        <v>61</v>
      </c>
      <c r="AC277" s="4">
        <f t="shared" si="96"/>
        <v>933002.86637708067</v>
      </c>
      <c r="AD277" s="4">
        <f t="shared" si="97"/>
        <v>2720600</v>
      </c>
      <c r="AE277" s="5">
        <f t="shared" si="98"/>
        <v>-1787597.1336229192</v>
      </c>
      <c r="AF277" s="3" t="str">
        <f t="shared" si="99"/>
        <v>N</v>
      </c>
      <c r="AH277" s="4">
        <f t="shared" si="100"/>
        <v>28127742.151925433</v>
      </c>
      <c r="AI277" s="4">
        <f t="shared" si="101"/>
        <v>82019400</v>
      </c>
    </row>
    <row r="278" spans="1:35">
      <c r="A278" s="3">
        <v>276</v>
      </c>
      <c r="B278" s="3" t="s">
        <v>941</v>
      </c>
      <c r="C278" s="3" t="s">
        <v>667</v>
      </c>
      <c r="D278" s="4">
        <v>0</v>
      </c>
      <c r="E278" s="4">
        <v>0</v>
      </c>
      <c r="F278" s="4">
        <v>0</v>
      </c>
      <c r="G278" s="4">
        <v>0</v>
      </c>
      <c r="H278" s="4">
        <f t="shared" si="84"/>
        <v>0</v>
      </c>
      <c r="I278" s="4">
        <v>0</v>
      </c>
      <c r="J278" s="4">
        <v>128</v>
      </c>
      <c r="K278" s="5">
        <f t="shared" si="86"/>
        <v>0</v>
      </c>
      <c r="L278" s="4">
        <v>0</v>
      </c>
      <c r="M278" s="4">
        <f t="shared" si="82"/>
        <v>0</v>
      </c>
      <c r="N278" s="4">
        <f t="shared" si="87"/>
        <v>0</v>
      </c>
      <c r="O278" s="4">
        <f t="shared" si="88"/>
        <v>0</v>
      </c>
      <c r="P278" s="4">
        <f t="shared" si="89"/>
        <v>0</v>
      </c>
      <c r="Q278" s="3" t="s">
        <v>715</v>
      </c>
      <c r="T278" s="4">
        <v>0</v>
      </c>
      <c r="U278" s="4">
        <f t="shared" si="91"/>
        <v>0</v>
      </c>
      <c r="V278" s="4">
        <f t="shared" si="92"/>
        <v>0</v>
      </c>
      <c r="W278" s="4">
        <f t="shared" si="93"/>
        <v>0</v>
      </c>
      <c r="X278" s="5">
        <f t="shared" si="94"/>
        <v>0</v>
      </c>
      <c r="Y278" s="5">
        <f t="shared" si="95"/>
        <v>0</v>
      </c>
      <c r="Z278" s="5">
        <f t="shared" si="95"/>
        <v>0</v>
      </c>
      <c r="AB278" s="5">
        <f t="shared" si="83"/>
        <v>-128</v>
      </c>
      <c r="AC278" s="4">
        <f t="shared" si="96"/>
        <v>0</v>
      </c>
      <c r="AD278" s="4">
        <f t="shared" si="97"/>
        <v>0</v>
      </c>
      <c r="AE278" s="5">
        <f t="shared" si="98"/>
        <v>0</v>
      </c>
      <c r="AF278" s="3" t="str">
        <f t="shared" si="99"/>
        <v>N</v>
      </c>
      <c r="AH278" s="4">
        <f t="shared" si="100"/>
        <v>0</v>
      </c>
      <c r="AI278" s="4">
        <f t="shared" si="101"/>
        <v>0</v>
      </c>
    </row>
    <row r="279" spans="1:35">
      <c r="A279" s="3">
        <v>277</v>
      </c>
      <c r="B279" s="3" t="s">
        <v>942</v>
      </c>
      <c r="C279" s="3" t="s">
        <v>667</v>
      </c>
      <c r="D279" s="4">
        <v>100</v>
      </c>
      <c r="E279" s="4">
        <v>3026259.8379629641</v>
      </c>
      <c r="F279" s="4">
        <v>0</v>
      </c>
      <c r="G279" s="4">
        <v>0</v>
      </c>
      <c r="H279" s="4">
        <f t="shared" si="84"/>
        <v>3026259.8379629641</v>
      </c>
      <c r="I279" s="4">
        <f t="shared" si="85"/>
        <v>30262.598379629642</v>
      </c>
      <c r="J279" s="4">
        <v>8</v>
      </c>
      <c r="K279" s="5">
        <f t="shared" si="86"/>
        <v>8</v>
      </c>
      <c r="L279" s="4">
        <v>38000</v>
      </c>
      <c r="M279" s="4">
        <f t="shared" si="82"/>
        <v>3088159.0509259268</v>
      </c>
      <c r="N279" s="4">
        <f t="shared" si="87"/>
        <v>61899.212962962862</v>
      </c>
      <c r="O279" s="4">
        <f t="shared" si="88"/>
        <v>61899.212962962862</v>
      </c>
      <c r="P279" s="4">
        <f t="shared" si="89"/>
        <v>0</v>
      </c>
      <c r="T279" s="4">
        <f t="shared" ref="T279:T342" si="102">H279/D279</f>
        <v>30262.598379629642</v>
      </c>
      <c r="U279" s="4">
        <f t="shared" si="91"/>
        <v>61899.212962962862</v>
      </c>
      <c r="V279" s="4">
        <f t="shared" si="92"/>
        <v>61899.212962962862</v>
      </c>
      <c r="W279" s="4">
        <f t="shared" si="93"/>
        <v>0</v>
      </c>
      <c r="X279" s="5">
        <f t="shared" si="94"/>
        <v>3088159.0509259268</v>
      </c>
      <c r="Y279" s="5">
        <f t="shared" si="95"/>
        <v>0</v>
      </c>
      <c r="Z279" s="5">
        <f t="shared" si="95"/>
        <v>0</v>
      </c>
      <c r="AB279" s="5">
        <f t="shared" si="83"/>
        <v>92</v>
      </c>
      <c r="AC279" s="4">
        <f t="shared" si="96"/>
        <v>2784159.0509259272</v>
      </c>
      <c r="AD279" s="4">
        <f t="shared" si="97"/>
        <v>3496000</v>
      </c>
      <c r="AE279" s="5">
        <f t="shared" si="98"/>
        <v>-711840.94907407276</v>
      </c>
      <c r="AF279" s="3" t="str">
        <f t="shared" si="99"/>
        <v>N</v>
      </c>
      <c r="AH279" s="4">
        <f t="shared" si="100"/>
        <v>242100.78703703714</v>
      </c>
      <c r="AI279" s="4">
        <f t="shared" si="101"/>
        <v>304000</v>
      </c>
    </row>
    <row r="280" spans="1:35">
      <c r="A280" s="3">
        <v>278</v>
      </c>
      <c r="B280" s="3" t="s">
        <v>943</v>
      </c>
      <c r="C280" s="3" t="s">
        <v>667</v>
      </c>
      <c r="D280" s="4">
        <v>79500</v>
      </c>
      <c r="E280" s="4">
        <v>2283719087.501554</v>
      </c>
      <c r="F280" s="4">
        <v>0</v>
      </c>
      <c r="G280" s="4">
        <v>0</v>
      </c>
      <c r="H280" s="4">
        <f t="shared" si="84"/>
        <v>2283719087.501554</v>
      </c>
      <c r="I280" s="4">
        <f t="shared" si="85"/>
        <v>28726.026257881182</v>
      </c>
      <c r="J280" s="4">
        <v>79398.2</v>
      </c>
      <c r="K280" s="5">
        <f t="shared" si="86"/>
        <v>79398.2</v>
      </c>
      <c r="L280" s="4">
        <v>31800</v>
      </c>
      <c r="M280" s="4">
        <f t="shared" si="82"/>
        <v>2527787069.4730525</v>
      </c>
      <c r="N280" s="4">
        <f t="shared" si="87"/>
        <v>244067981.97149834</v>
      </c>
      <c r="O280" s="4">
        <f t="shared" si="88"/>
        <v>244067981.97149834</v>
      </c>
      <c r="P280" s="4">
        <f t="shared" si="89"/>
        <v>0</v>
      </c>
      <c r="T280" s="4">
        <f t="shared" si="102"/>
        <v>28726.026257881182</v>
      </c>
      <c r="U280" s="4">
        <f t="shared" si="91"/>
        <v>244067981.97149834</v>
      </c>
      <c r="V280" s="4">
        <f t="shared" si="92"/>
        <v>244067981.97149834</v>
      </c>
      <c r="W280" s="4">
        <f t="shared" si="93"/>
        <v>0</v>
      </c>
      <c r="X280" s="5">
        <f t="shared" si="94"/>
        <v>2527787069.4730525</v>
      </c>
      <c r="Y280" s="5">
        <f t="shared" si="95"/>
        <v>0</v>
      </c>
      <c r="Z280" s="5">
        <f t="shared" si="95"/>
        <v>0</v>
      </c>
      <c r="AB280" s="5">
        <f t="shared" si="83"/>
        <v>101.80000000000291</v>
      </c>
      <c r="AC280" s="4">
        <f t="shared" si="96"/>
        <v>2924309.4730523881</v>
      </c>
      <c r="AD280" s="4">
        <f t="shared" si="97"/>
        <v>3237240.0000000927</v>
      </c>
      <c r="AE280" s="5">
        <f t="shared" si="98"/>
        <v>-312930.52694770461</v>
      </c>
      <c r="AF280" s="3" t="str">
        <f t="shared" si="99"/>
        <v>N</v>
      </c>
      <c r="AH280" s="4">
        <f t="shared" si="100"/>
        <v>2280794778.0285015</v>
      </c>
      <c r="AI280" s="4">
        <f t="shared" si="101"/>
        <v>2524862760</v>
      </c>
    </row>
    <row r="281" spans="1:35">
      <c r="A281" s="3">
        <v>279</v>
      </c>
      <c r="B281" s="3" t="s">
        <v>944</v>
      </c>
      <c r="C281" s="3" t="s">
        <v>667</v>
      </c>
      <c r="D281" s="4">
        <v>5610</v>
      </c>
      <c r="E281" s="4">
        <v>33676810.641203426</v>
      </c>
      <c r="F281" s="4">
        <v>0</v>
      </c>
      <c r="G281" s="4">
        <v>0</v>
      </c>
      <c r="H281" s="4">
        <f t="shared" si="84"/>
        <v>33676810.641203426</v>
      </c>
      <c r="I281" s="4">
        <f t="shared" si="85"/>
        <v>6002.9965492341225</v>
      </c>
      <c r="J281" s="4">
        <v>5575.4</v>
      </c>
      <c r="K281" s="5">
        <f t="shared" si="86"/>
        <v>5575.4</v>
      </c>
      <c r="L281" s="4">
        <v>7120</v>
      </c>
      <c r="M281" s="4">
        <f t="shared" si="82"/>
        <v>39904551.680603497</v>
      </c>
      <c r="N281" s="4">
        <f t="shared" si="87"/>
        <v>6227741.0394000728</v>
      </c>
      <c r="O281" s="4">
        <f t="shared" si="88"/>
        <v>6227741.0394000728</v>
      </c>
      <c r="P281" s="4">
        <f t="shared" si="89"/>
        <v>0</v>
      </c>
      <c r="T281" s="4">
        <f t="shared" si="102"/>
        <v>6002.9965492341225</v>
      </c>
      <c r="U281" s="4">
        <f t="shared" si="91"/>
        <v>6227741.0394000728</v>
      </c>
      <c r="V281" s="4">
        <f t="shared" si="92"/>
        <v>6227741.0394000728</v>
      </c>
      <c r="W281" s="4">
        <f t="shared" si="93"/>
        <v>0</v>
      </c>
      <c r="X281" s="5">
        <f t="shared" si="94"/>
        <v>39904551.680603497</v>
      </c>
      <c r="Y281" s="5">
        <f t="shared" si="95"/>
        <v>0</v>
      </c>
      <c r="Z281" s="5">
        <f t="shared" si="95"/>
        <v>0</v>
      </c>
      <c r="AB281" s="5">
        <f t="shared" si="83"/>
        <v>34.600000000000364</v>
      </c>
      <c r="AC281" s="4">
        <f t="shared" si="96"/>
        <v>207703.68060350281</v>
      </c>
      <c r="AD281" s="4">
        <f t="shared" si="97"/>
        <v>246352.00000000259</v>
      </c>
      <c r="AE281" s="5">
        <f t="shared" si="98"/>
        <v>-38648.319396499777</v>
      </c>
      <c r="AF281" s="3" t="str">
        <f t="shared" si="99"/>
        <v>N</v>
      </c>
      <c r="AH281" s="4">
        <f t="shared" si="100"/>
        <v>33469106.960599925</v>
      </c>
      <c r="AI281" s="4">
        <f t="shared" si="101"/>
        <v>39696848</v>
      </c>
    </row>
    <row r="282" spans="1:35">
      <c r="A282" s="3">
        <v>280</v>
      </c>
      <c r="B282" s="3" t="s">
        <v>945</v>
      </c>
      <c r="C282" s="3" t="s">
        <v>667</v>
      </c>
      <c r="D282" s="4">
        <v>7144</v>
      </c>
      <c r="E282" s="4">
        <v>56967416.461658418</v>
      </c>
      <c r="F282" s="4">
        <v>0</v>
      </c>
      <c r="G282" s="4">
        <v>0</v>
      </c>
      <c r="H282" s="4">
        <f t="shared" si="84"/>
        <v>56967416.461658418</v>
      </c>
      <c r="I282" s="4">
        <f t="shared" si="85"/>
        <v>7974.1624386419962</v>
      </c>
      <c r="J282" s="4">
        <v>7096.1</v>
      </c>
      <c r="K282" s="5">
        <f t="shared" si="86"/>
        <v>7096.1</v>
      </c>
      <c r="L282" s="4">
        <v>13200</v>
      </c>
      <c r="M282" s="4">
        <f t="shared" si="82"/>
        <v>94050482.380810946</v>
      </c>
      <c r="N282" s="4">
        <f t="shared" si="87"/>
        <v>37083065.919152535</v>
      </c>
      <c r="O282" s="4">
        <f t="shared" si="88"/>
        <v>37083065.919152535</v>
      </c>
      <c r="P282" s="4">
        <f t="shared" si="89"/>
        <v>0</v>
      </c>
      <c r="T282" s="4">
        <f t="shared" si="102"/>
        <v>7974.1624386419962</v>
      </c>
      <c r="U282" s="4">
        <f t="shared" si="91"/>
        <v>37083065.919152535</v>
      </c>
      <c r="V282" s="4">
        <f t="shared" si="92"/>
        <v>37083065.919152535</v>
      </c>
      <c r="W282" s="4">
        <f t="shared" si="93"/>
        <v>0</v>
      </c>
      <c r="X282" s="5">
        <f t="shared" si="94"/>
        <v>94050482.380810946</v>
      </c>
      <c r="Y282" s="5">
        <f t="shared" si="95"/>
        <v>0</v>
      </c>
      <c r="Z282" s="5">
        <f t="shared" si="95"/>
        <v>0</v>
      </c>
      <c r="AB282" s="5">
        <f t="shared" si="83"/>
        <v>47.899999999999636</v>
      </c>
      <c r="AC282" s="4">
        <f t="shared" si="96"/>
        <v>381962.38081094873</v>
      </c>
      <c r="AD282" s="4">
        <f t="shared" si="97"/>
        <v>632279.99999999523</v>
      </c>
      <c r="AE282" s="5">
        <f t="shared" si="98"/>
        <v>-250317.6191890465</v>
      </c>
      <c r="AF282" s="3" t="str">
        <f t="shared" si="99"/>
        <v>N</v>
      </c>
      <c r="AH282" s="4">
        <f t="shared" si="100"/>
        <v>56585454.080847472</v>
      </c>
      <c r="AI282" s="4">
        <f t="shared" si="101"/>
        <v>93668520</v>
      </c>
    </row>
    <row r="283" spans="1:35">
      <c r="A283" s="3">
        <v>281</v>
      </c>
      <c r="B283" s="3" t="s">
        <v>946</v>
      </c>
      <c r="C283" s="3" t="s">
        <v>667</v>
      </c>
      <c r="D283" s="4">
        <v>400</v>
      </c>
      <c r="E283" s="4">
        <v>13905310.313049952</v>
      </c>
      <c r="F283" s="4">
        <v>0</v>
      </c>
      <c r="G283" s="4">
        <v>0</v>
      </c>
      <c r="H283" s="4">
        <f t="shared" si="84"/>
        <v>13905310.313049952</v>
      </c>
      <c r="I283" s="4">
        <f t="shared" si="85"/>
        <v>34763.275782624878</v>
      </c>
      <c r="J283" s="4">
        <v>333</v>
      </c>
      <c r="K283" s="5">
        <f t="shared" si="86"/>
        <v>333</v>
      </c>
      <c r="L283" s="4">
        <v>37850</v>
      </c>
      <c r="M283" s="4">
        <f t="shared" si="82"/>
        <v>14933189.477435866</v>
      </c>
      <c r="N283" s="4">
        <f t="shared" si="87"/>
        <v>1027879.1643859156</v>
      </c>
      <c r="O283" s="4">
        <f t="shared" si="88"/>
        <v>1027879.1643859156</v>
      </c>
      <c r="P283" s="4">
        <f t="shared" si="89"/>
        <v>0</v>
      </c>
      <c r="T283" s="4">
        <f t="shared" si="102"/>
        <v>34763.275782624878</v>
      </c>
      <c r="U283" s="4">
        <f t="shared" si="91"/>
        <v>1027879.1643859156</v>
      </c>
      <c r="V283" s="4">
        <f t="shared" si="92"/>
        <v>1027879.1643859156</v>
      </c>
      <c r="W283" s="4">
        <f t="shared" si="93"/>
        <v>0</v>
      </c>
      <c r="X283" s="5">
        <f t="shared" si="94"/>
        <v>14933189.477435866</v>
      </c>
      <c r="Y283" s="5">
        <f t="shared" si="95"/>
        <v>0</v>
      </c>
      <c r="Z283" s="5">
        <f t="shared" si="95"/>
        <v>0</v>
      </c>
      <c r="AB283" s="5">
        <f t="shared" si="83"/>
        <v>67</v>
      </c>
      <c r="AC283" s="4">
        <f t="shared" si="96"/>
        <v>2329139.4774358668</v>
      </c>
      <c r="AD283" s="4">
        <f t="shared" si="97"/>
        <v>2535950</v>
      </c>
      <c r="AE283" s="5">
        <f t="shared" si="98"/>
        <v>-206810.52256413316</v>
      </c>
      <c r="AF283" s="3" t="str">
        <f t="shared" si="99"/>
        <v>N</v>
      </c>
      <c r="AH283" s="4">
        <f t="shared" si="100"/>
        <v>11576170.835614085</v>
      </c>
      <c r="AI283" s="4">
        <f t="shared" si="101"/>
        <v>12604050</v>
      </c>
    </row>
    <row r="284" spans="1:35">
      <c r="A284" s="3">
        <v>282</v>
      </c>
      <c r="B284" s="3" t="s">
        <v>947</v>
      </c>
      <c r="C284" s="3" t="s">
        <v>667</v>
      </c>
      <c r="D284" s="4">
        <v>480</v>
      </c>
      <c r="E284" s="4">
        <v>20810427.848808557</v>
      </c>
      <c r="F284" s="4">
        <v>0</v>
      </c>
      <c r="G284" s="4">
        <v>0</v>
      </c>
      <c r="H284" s="4">
        <f t="shared" si="84"/>
        <v>20810427.848808557</v>
      </c>
      <c r="I284" s="4">
        <f t="shared" si="85"/>
        <v>43355.058018351163</v>
      </c>
      <c r="J284" s="4">
        <v>439.3</v>
      </c>
      <c r="K284" s="5">
        <f t="shared" si="86"/>
        <v>439.3</v>
      </c>
      <c r="L284" s="4">
        <v>40750</v>
      </c>
      <c r="M284" s="4">
        <f t="shared" si="82"/>
        <v>19666025.861346889</v>
      </c>
      <c r="N284" s="4">
        <f t="shared" si="87"/>
        <v>-1144401.9874616659</v>
      </c>
      <c r="O284" s="4">
        <f t="shared" si="88"/>
        <v>0</v>
      </c>
      <c r="P284" s="4">
        <f t="shared" si="89"/>
        <v>-1144401.9874616659</v>
      </c>
      <c r="T284" s="4">
        <f t="shared" si="102"/>
        <v>43355.058018351163</v>
      </c>
      <c r="U284" s="4">
        <f t="shared" si="91"/>
        <v>-1144401.9874616659</v>
      </c>
      <c r="V284" s="4">
        <f t="shared" si="92"/>
        <v>0</v>
      </c>
      <c r="W284" s="4">
        <f t="shared" si="93"/>
        <v>-1144401.9874616659</v>
      </c>
      <c r="X284" s="5">
        <f t="shared" si="94"/>
        <v>19666025.861346889</v>
      </c>
      <c r="Y284" s="5">
        <f t="shared" si="95"/>
        <v>0</v>
      </c>
      <c r="Z284" s="5">
        <f t="shared" si="95"/>
        <v>0</v>
      </c>
      <c r="AB284" s="5">
        <f t="shared" si="83"/>
        <v>40.699999999999989</v>
      </c>
      <c r="AC284" s="4">
        <f t="shared" si="96"/>
        <v>1764550.8613468918</v>
      </c>
      <c r="AD284" s="4">
        <f t="shared" si="97"/>
        <v>1658524.9999999995</v>
      </c>
      <c r="AE284" s="5">
        <f t="shared" si="98"/>
        <v>106025.86134689231</v>
      </c>
      <c r="AF284" s="3" t="str">
        <f t="shared" si="99"/>
        <v>Y</v>
      </c>
      <c r="AH284" s="4">
        <f t="shared" si="100"/>
        <v>19045876.987461668</v>
      </c>
      <c r="AI284" s="4">
        <f t="shared" si="101"/>
        <v>17901475</v>
      </c>
    </row>
    <row r="285" spans="1:35">
      <c r="A285" s="3">
        <v>283</v>
      </c>
      <c r="B285" s="3" t="s">
        <v>948</v>
      </c>
      <c r="C285" s="3" t="s">
        <v>667</v>
      </c>
      <c r="D285" s="4">
        <v>700</v>
      </c>
      <c r="E285" s="4">
        <v>5455180.2410674058</v>
      </c>
      <c r="F285" s="4">
        <v>0</v>
      </c>
      <c r="G285" s="4">
        <v>0</v>
      </c>
      <c r="H285" s="4">
        <f t="shared" si="84"/>
        <v>5455180.2410674058</v>
      </c>
      <c r="I285" s="4">
        <f t="shared" si="85"/>
        <v>7793.1146300962937</v>
      </c>
      <c r="J285" s="4">
        <v>1136.0999999999999</v>
      </c>
      <c r="K285" s="5">
        <f t="shared" si="86"/>
        <v>700</v>
      </c>
      <c r="L285" s="4">
        <v>8990</v>
      </c>
      <c r="M285" s="4">
        <f t="shared" si="82"/>
        <v>6293000</v>
      </c>
      <c r="N285" s="4">
        <f t="shared" si="87"/>
        <v>837819.75893259444</v>
      </c>
      <c r="O285" s="4">
        <f t="shared" si="88"/>
        <v>837819.75893259444</v>
      </c>
      <c r="P285" s="4">
        <f t="shared" si="89"/>
        <v>0</v>
      </c>
      <c r="T285" s="4">
        <f t="shared" si="102"/>
        <v>7793.1146300962937</v>
      </c>
      <c r="U285" s="4">
        <f t="shared" si="91"/>
        <v>837819.75893259444</v>
      </c>
      <c r="V285" s="4">
        <f t="shared" si="92"/>
        <v>837819.75893259444</v>
      </c>
      <c r="W285" s="4">
        <f t="shared" si="93"/>
        <v>0</v>
      </c>
      <c r="X285" s="5">
        <f t="shared" si="94"/>
        <v>6293000</v>
      </c>
      <c r="Y285" s="5">
        <f t="shared" si="95"/>
        <v>0</v>
      </c>
      <c r="Z285" s="5">
        <f t="shared" si="95"/>
        <v>0</v>
      </c>
      <c r="AB285" s="5">
        <f t="shared" si="83"/>
        <v>-436.09999999999991</v>
      </c>
      <c r="AC285" s="4">
        <f t="shared" si="96"/>
        <v>-3398577.2901849928</v>
      </c>
      <c r="AD285" s="4">
        <f t="shared" si="97"/>
        <v>-3920538.9999999991</v>
      </c>
      <c r="AE285" s="5">
        <f t="shared" si="98"/>
        <v>0</v>
      </c>
      <c r="AF285" s="3" t="str">
        <f t="shared" si="99"/>
        <v>N</v>
      </c>
      <c r="AH285" s="4">
        <f t="shared" si="100"/>
        <v>5455180.2410674058</v>
      </c>
      <c r="AI285" s="4">
        <f t="shared" si="101"/>
        <v>6293000</v>
      </c>
    </row>
    <row r="286" spans="1:35">
      <c r="A286" s="3">
        <v>284</v>
      </c>
      <c r="B286" s="3" t="s">
        <v>949</v>
      </c>
      <c r="C286" s="3" t="s">
        <v>667</v>
      </c>
      <c r="D286" s="4">
        <v>5500</v>
      </c>
      <c r="E286" s="4">
        <v>23492857.498766057</v>
      </c>
      <c r="F286" s="4">
        <v>0</v>
      </c>
      <c r="G286" s="4">
        <v>0</v>
      </c>
      <c r="H286" s="4">
        <f t="shared" si="84"/>
        <v>23492857.498766057</v>
      </c>
      <c r="I286" s="4">
        <f t="shared" si="85"/>
        <v>4271.4286361392833</v>
      </c>
      <c r="J286" s="4">
        <v>5499</v>
      </c>
      <c r="K286" s="5">
        <f t="shared" si="86"/>
        <v>5499</v>
      </c>
      <c r="L286" s="4">
        <v>3170</v>
      </c>
      <c r="M286" s="4">
        <f t="shared" si="82"/>
        <v>17436101.428636137</v>
      </c>
      <c r="N286" s="4">
        <f t="shared" si="87"/>
        <v>-6056756.0701299189</v>
      </c>
      <c r="O286" s="4">
        <f t="shared" si="88"/>
        <v>0</v>
      </c>
      <c r="P286" s="4">
        <f t="shared" si="89"/>
        <v>-6056756.0701299189</v>
      </c>
      <c r="T286" s="4">
        <f t="shared" si="102"/>
        <v>4271.4286361392833</v>
      </c>
      <c r="U286" s="4">
        <f t="shared" si="91"/>
        <v>-6056756.0701299189</v>
      </c>
      <c r="V286" s="4">
        <f t="shared" si="92"/>
        <v>0</v>
      </c>
      <c r="W286" s="4">
        <f t="shared" si="93"/>
        <v>-6056756.0701299189</v>
      </c>
      <c r="X286" s="5">
        <f t="shared" si="94"/>
        <v>17436101.428636137</v>
      </c>
      <c r="Y286" s="5">
        <f t="shared" si="95"/>
        <v>0</v>
      </c>
      <c r="Z286" s="5">
        <f t="shared" si="95"/>
        <v>0</v>
      </c>
      <c r="AB286" s="5">
        <f t="shared" si="83"/>
        <v>1</v>
      </c>
      <c r="AC286" s="4">
        <f t="shared" si="96"/>
        <v>4271.4286361392833</v>
      </c>
      <c r="AD286" s="4">
        <f t="shared" si="97"/>
        <v>3170</v>
      </c>
      <c r="AE286" s="5">
        <f t="shared" si="98"/>
        <v>1101.4286361392833</v>
      </c>
      <c r="AF286" s="3" t="str">
        <f t="shared" si="99"/>
        <v>Y</v>
      </c>
      <c r="AH286" s="4">
        <f t="shared" si="100"/>
        <v>23488586.07012992</v>
      </c>
      <c r="AI286" s="4">
        <f t="shared" si="101"/>
        <v>17431830</v>
      </c>
    </row>
    <row r="287" spans="1:35">
      <c r="A287" s="3">
        <v>285</v>
      </c>
      <c r="B287" s="3" t="s">
        <v>950</v>
      </c>
      <c r="C287" s="3" t="s">
        <v>667</v>
      </c>
      <c r="D287" s="4">
        <v>500</v>
      </c>
      <c r="E287" s="4">
        <v>13921138.930137778</v>
      </c>
      <c r="F287" s="4">
        <v>0</v>
      </c>
      <c r="G287" s="4">
        <v>0</v>
      </c>
      <c r="H287" s="4">
        <f t="shared" si="84"/>
        <v>13921138.930137778</v>
      </c>
      <c r="I287" s="4">
        <f t="shared" si="85"/>
        <v>27842.277860275557</v>
      </c>
      <c r="J287" s="4">
        <v>420</v>
      </c>
      <c r="K287" s="5">
        <f t="shared" si="86"/>
        <v>420</v>
      </c>
      <c r="L287" s="4">
        <v>22350</v>
      </c>
      <c r="M287" s="4">
        <f t="shared" si="82"/>
        <v>11614382.228822043</v>
      </c>
      <c r="N287" s="4">
        <f t="shared" si="87"/>
        <v>-2306756.7013157341</v>
      </c>
      <c r="O287" s="4">
        <f t="shared" si="88"/>
        <v>0</v>
      </c>
      <c r="P287" s="4">
        <f t="shared" si="89"/>
        <v>-2306756.7013157341</v>
      </c>
      <c r="T287" s="4">
        <f t="shared" si="102"/>
        <v>27842.277860275557</v>
      </c>
      <c r="U287" s="4">
        <f t="shared" si="91"/>
        <v>-2306756.7013157341</v>
      </c>
      <c r="V287" s="4">
        <f t="shared" si="92"/>
        <v>0</v>
      </c>
      <c r="W287" s="4">
        <f t="shared" si="93"/>
        <v>-2306756.7013157341</v>
      </c>
      <c r="X287" s="5">
        <f t="shared" si="94"/>
        <v>11614382.228822043</v>
      </c>
      <c r="Y287" s="5">
        <f t="shared" si="95"/>
        <v>0</v>
      </c>
      <c r="Z287" s="5">
        <f t="shared" si="95"/>
        <v>0</v>
      </c>
      <c r="AB287" s="5">
        <f t="shared" si="83"/>
        <v>80</v>
      </c>
      <c r="AC287" s="4">
        <f t="shared" si="96"/>
        <v>2227382.2288220446</v>
      </c>
      <c r="AD287" s="4">
        <f t="shared" si="97"/>
        <v>1788000</v>
      </c>
      <c r="AE287" s="5">
        <f t="shared" si="98"/>
        <v>439382.22882204456</v>
      </c>
      <c r="AF287" s="3" t="str">
        <f t="shared" si="99"/>
        <v>Y</v>
      </c>
      <c r="AH287" s="4">
        <f t="shared" si="100"/>
        <v>11693756.701315735</v>
      </c>
      <c r="AI287" s="4">
        <f t="shared" si="101"/>
        <v>9387000</v>
      </c>
    </row>
    <row r="288" spans="1:35">
      <c r="A288" s="3">
        <v>286</v>
      </c>
      <c r="B288" s="3" t="s">
        <v>951</v>
      </c>
      <c r="C288" s="3" t="s">
        <v>667</v>
      </c>
      <c r="D288" s="4">
        <v>2000</v>
      </c>
      <c r="E288" s="4">
        <v>25537167.226369761</v>
      </c>
      <c r="F288" s="4">
        <v>0</v>
      </c>
      <c r="G288" s="4">
        <v>0</v>
      </c>
      <c r="H288" s="4">
        <f t="shared" si="84"/>
        <v>25537167.226369761</v>
      </c>
      <c r="I288" s="4">
        <f t="shared" si="85"/>
        <v>12768.583613184881</v>
      </c>
      <c r="J288" s="4">
        <v>1913</v>
      </c>
      <c r="K288" s="5">
        <f t="shared" si="86"/>
        <v>1913</v>
      </c>
      <c r="L288" s="4">
        <v>9910</v>
      </c>
      <c r="M288" s="4">
        <f t="shared" si="82"/>
        <v>20068696.774347082</v>
      </c>
      <c r="N288" s="4">
        <f t="shared" si="87"/>
        <v>-5468470.4520226773</v>
      </c>
      <c r="O288" s="4">
        <f t="shared" si="88"/>
        <v>0</v>
      </c>
      <c r="P288" s="4">
        <f t="shared" si="89"/>
        <v>-5468470.4520226773</v>
      </c>
      <c r="T288" s="4">
        <f t="shared" si="102"/>
        <v>12768.583613184881</v>
      </c>
      <c r="U288" s="4">
        <f t="shared" si="91"/>
        <v>-5468470.4520226773</v>
      </c>
      <c r="V288" s="4">
        <f t="shared" si="92"/>
        <v>0</v>
      </c>
      <c r="W288" s="4">
        <f t="shared" si="93"/>
        <v>-5468470.4520226773</v>
      </c>
      <c r="X288" s="5">
        <f t="shared" si="94"/>
        <v>20068696.774347082</v>
      </c>
      <c r="Y288" s="5">
        <f t="shared" si="95"/>
        <v>0</v>
      </c>
      <c r="Z288" s="5">
        <f t="shared" si="95"/>
        <v>0</v>
      </c>
      <c r="AB288" s="5">
        <f t="shared" si="83"/>
        <v>87</v>
      </c>
      <c r="AC288" s="4">
        <f t="shared" si="96"/>
        <v>1110866.7743470846</v>
      </c>
      <c r="AD288" s="4">
        <f t="shared" si="97"/>
        <v>862170</v>
      </c>
      <c r="AE288" s="5">
        <f t="shared" si="98"/>
        <v>248696.77434708457</v>
      </c>
      <c r="AF288" s="3" t="str">
        <f t="shared" si="99"/>
        <v>Y</v>
      </c>
      <c r="AH288" s="4">
        <f t="shared" si="100"/>
        <v>24426300.452022675</v>
      </c>
      <c r="AI288" s="4">
        <f t="shared" si="101"/>
        <v>18957830</v>
      </c>
    </row>
    <row r="289" spans="1:35">
      <c r="A289" s="3">
        <v>287</v>
      </c>
      <c r="B289" s="3" t="s">
        <v>952</v>
      </c>
      <c r="C289" s="3" t="s">
        <v>667</v>
      </c>
      <c r="D289" s="4">
        <v>5200</v>
      </c>
      <c r="E289" s="4">
        <v>23011336.884328786</v>
      </c>
      <c r="F289" s="4">
        <v>0</v>
      </c>
      <c r="G289" s="4">
        <v>0</v>
      </c>
      <c r="H289" s="4">
        <f t="shared" si="84"/>
        <v>23011336.884328786</v>
      </c>
      <c r="I289" s="4">
        <f t="shared" si="85"/>
        <v>4425.2570931401515</v>
      </c>
      <c r="J289" s="4">
        <v>5167.3999999999996</v>
      </c>
      <c r="K289" s="5">
        <f t="shared" si="86"/>
        <v>5167.3999999999996</v>
      </c>
      <c r="L289" s="4">
        <v>3730</v>
      </c>
      <c r="M289" s="4">
        <f t="shared" si="82"/>
        <v>19418665.381236367</v>
      </c>
      <c r="N289" s="4">
        <f t="shared" si="87"/>
        <v>-3592671.5030924184</v>
      </c>
      <c r="O289" s="4">
        <f t="shared" si="88"/>
        <v>0</v>
      </c>
      <c r="P289" s="4">
        <f t="shared" si="89"/>
        <v>-3592671.5030924184</v>
      </c>
      <c r="T289" s="4">
        <f t="shared" si="102"/>
        <v>4425.2570931401515</v>
      </c>
      <c r="U289" s="4">
        <f t="shared" si="91"/>
        <v>-3592671.5030924184</v>
      </c>
      <c r="V289" s="4">
        <f t="shared" si="92"/>
        <v>0</v>
      </c>
      <c r="W289" s="4">
        <f t="shared" si="93"/>
        <v>-3592671.5030924184</v>
      </c>
      <c r="X289" s="5">
        <f t="shared" si="94"/>
        <v>19418665.381236367</v>
      </c>
      <c r="Y289" s="5">
        <f t="shared" si="95"/>
        <v>0</v>
      </c>
      <c r="Z289" s="5">
        <f t="shared" si="95"/>
        <v>0</v>
      </c>
      <c r="AB289" s="5">
        <f t="shared" si="83"/>
        <v>32.600000000000364</v>
      </c>
      <c r="AC289" s="4">
        <f t="shared" si="96"/>
        <v>144263.38123637054</v>
      </c>
      <c r="AD289" s="4">
        <f t="shared" si="97"/>
        <v>121598.00000000135</v>
      </c>
      <c r="AE289" s="5">
        <f t="shared" si="98"/>
        <v>22665.381236369183</v>
      </c>
      <c r="AF289" s="3" t="str">
        <f t="shared" si="99"/>
        <v>Y</v>
      </c>
      <c r="AH289" s="4">
        <f t="shared" si="100"/>
        <v>22867073.503092416</v>
      </c>
      <c r="AI289" s="4">
        <f t="shared" si="101"/>
        <v>19274402</v>
      </c>
    </row>
    <row r="290" spans="1:35">
      <c r="A290" s="3">
        <v>288</v>
      </c>
      <c r="B290" s="3" t="s">
        <v>953</v>
      </c>
      <c r="C290" s="3" t="s">
        <v>667</v>
      </c>
      <c r="D290" s="4">
        <v>3200</v>
      </c>
      <c r="E290" s="4">
        <v>12252900.76914097</v>
      </c>
      <c r="F290" s="4">
        <v>0</v>
      </c>
      <c r="G290" s="4">
        <v>0</v>
      </c>
      <c r="H290" s="4">
        <f t="shared" si="84"/>
        <v>12252900.76914097</v>
      </c>
      <c r="I290" s="4">
        <f t="shared" si="85"/>
        <v>3829.0314903565531</v>
      </c>
      <c r="J290" s="4">
        <v>3188.2</v>
      </c>
      <c r="K290" s="5">
        <f t="shared" si="86"/>
        <v>3188.2</v>
      </c>
      <c r="L290" s="4">
        <v>4640</v>
      </c>
      <c r="M290" s="4">
        <f t="shared" si="82"/>
        <v>14838430.571586207</v>
      </c>
      <c r="N290" s="4">
        <f t="shared" si="87"/>
        <v>2585529.8024452371</v>
      </c>
      <c r="O290" s="4">
        <f t="shared" si="88"/>
        <v>2585529.8024452371</v>
      </c>
      <c r="P290" s="4">
        <f t="shared" si="89"/>
        <v>0</v>
      </c>
      <c r="T290" s="4">
        <f t="shared" si="102"/>
        <v>3829.0314903565531</v>
      </c>
      <c r="U290" s="4">
        <f t="shared" si="91"/>
        <v>2585529.8024452371</v>
      </c>
      <c r="V290" s="4">
        <f t="shared" si="92"/>
        <v>2585529.8024452371</v>
      </c>
      <c r="W290" s="4">
        <f t="shared" si="93"/>
        <v>0</v>
      </c>
      <c r="X290" s="5">
        <f t="shared" si="94"/>
        <v>14838430.571586207</v>
      </c>
      <c r="Y290" s="5">
        <f t="shared" si="95"/>
        <v>0</v>
      </c>
      <c r="Z290" s="5">
        <f t="shared" si="95"/>
        <v>0</v>
      </c>
      <c r="AB290" s="5">
        <f t="shared" si="83"/>
        <v>11.800000000000182</v>
      </c>
      <c r="AC290" s="4">
        <f t="shared" si="96"/>
        <v>45182.571586208025</v>
      </c>
      <c r="AD290" s="4">
        <f t="shared" si="97"/>
        <v>54752.000000000844</v>
      </c>
      <c r="AE290" s="5">
        <f t="shared" si="98"/>
        <v>-9569.4284137928189</v>
      </c>
      <c r="AF290" s="3" t="str">
        <f t="shared" si="99"/>
        <v>N</v>
      </c>
      <c r="AH290" s="4">
        <f t="shared" si="100"/>
        <v>12207718.197554762</v>
      </c>
      <c r="AI290" s="4">
        <f t="shared" si="101"/>
        <v>14793248</v>
      </c>
    </row>
    <row r="291" spans="1:35">
      <c r="A291" s="3">
        <v>289</v>
      </c>
      <c r="B291" s="3" t="s">
        <v>954</v>
      </c>
      <c r="C291" s="3" t="s">
        <v>667</v>
      </c>
      <c r="D291" s="4">
        <v>700</v>
      </c>
      <c r="E291" s="4">
        <v>25503476.643273376</v>
      </c>
      <c r="F291" s="4">
        <v>0</v>
      </c>
      <c r="G291" s="4">
        <v>0</v>
      </c>
      <c r="H291" s="4">
        <f t="shared" si="84"/>
        <v>25503476.643273376</v>
      </c>
      <c r="I291" s="4">
        <f t="shared" si="85"/>
        <v>36433.538061819112</v>
      </c>
      <c r="J291" s="4">
        <v>652</v>
      </c>
      <c r="K291" s="5">
        <f t="shared" si="86"/>
        <v>652</v>
      </c>
      <c r="L291" s="4">
        <v>40550</v>
      </c>
      <c r="M291" s="4">
        <f t="shared" si="82"/>
        <v>28187409.826967314</v>
      </c>
      <c r="N291" s="4">
        <f t="shared" si="87"/>
        <v>2683933.1836939389</v>
      </c>
      <c r="O291" s="4">
        <f t="shared" si="88"/>
        <v>2683933.1836939389</v>
      </c>
      <c r="P291" s="4">
        <f t="shared" si="89"/>
        <v>0</v>
      </c>
      <c r="T291" s="4">
        <f t="shared" si="102"/>
        <v>36433.538061819112</v>
      </c>
      <c r="U291" s="4">
        <f t="shared" si="91"/>
        <v>2683933.1836939389</v>
      </c>
      <c r="V291" s="4">
        <f t="shared" si="92"/>
        <v>2683933.1836939389</v>
      </c>
      <c r="W291" s="4">
        <f t="shared" si="93"/>
        <v>0</v>
      </c>
      <c r="X291" s="5">
        <f t="shared" si="94"/>
        <v>28187409.826967314</v>
      </c>
      <c r="Y291" s="5">
        <f t="shared" si="95"/>
        <v>0</v>
      </c>
      <c r="Z291" s="5">
        <f t="shared" si="95"/>
        <v>0</v>
      </c>
      <c r="AB291" s="5">
        <f t="shared" si="83"/>
        <v>48</v>
      </c>
      <c r="AC291" s="4">
        <f t="shared" si="96"/>
        <v>1748809.8269673174</v>
      </c>
      <c r="AD291" s="4">
        <f t="shared" si="97"/>
        <v>1946400</v>
      </c>
      <c r="AE291" s="5">
        <f t="shared" si="98"/>
        <v>-197590.17303268262</v>
      </c>
      <c r="AF291" s="3" t="str">
        <f t="shared" si="99"/>
        <v>N</v>
      </c>
      <c r="AH291" s="4">
        <f t="shared" si="100"/>
        <v>23754666.816306062</v>
      </c>
      <c r="AI291" s="4">
        <f t="shared" si="101"/>
        <v>26438600</v>
      </c>
    </row>
    <row r="292" spans="1:35">
      <c r="A292" s="3">
        <v>290</v>
      </c>
      <c r="B292" s="3" t="s">
        <v>955</v>
      </c>
      <c r="C292" s="3" t="s">
        <v>667</v>
      </c>
      <c r="D292" s="4">
        <v>100</v>
      </c>
      <c r="E292" s="4">
        <v>4323833.333333334</v>
      </c>
      <c r="F292" s="4">
        <v>0</v>
      </c>
      <c r="G292" s="4">
        <v>0</v>
      </c>
      <c r="H292" s="4">
        <f t="shared" si="84"/>
        <v>4323833.333333334</v>
      </c>
      <c r="I292" s="4">
        <f t="shared" si="85"/>
        <v>43238.333333333343</v>
      </c>
      <c r="J292" s="4">
        <v>12</v>
      </c>
      <c r="K292" s="5">
        <f t="shared" si="86"/>
        <v>12</v>
      </c>
      <c r="L292" s="4">
        <v>45500</v>
      </c>
      <c r="M292" s="4">
        <f t="shared" si="82"/>
        <v>4350973.333333334</v>
      </c>
      <c r="N292" s="4">
        <f t="shared" si="87"/>
        <v>27139.999999999884</v>
      </c>
      <c r="O292" s="4">
        <f t="shared" si="88"/>
        <v>27139.999999999884</v>
      </c>
      <c r="P292" s="4">
        <f t="shared" si="89"/>
        <v>0</v>
      </c>
      <c r="T292" s="4">
        <f t="shared" si="102"/>
        <v>43238.333333333343</v>
      </c>
      <c r="U292" s="4">
        <f t="shared" si="91"/>
        <v>27139.999999999884</v>
      </c>
      <c r="V292" s="4">
        <f t="shared" si="92"/>
        <v>27139.999999999884</v>
      </c>
      <c r="W292" s="4">
        <f t="shared" si="93"/>
        <v>0</v>
      </c>
      <c r="X292" s="5">
        <f t="shared" si="94"/>
        <v>4350973.333333334</v>
      </c>
      <c r="Y292" s="5">
        <f t="shared" si="95"/>
        <v>0</v>
      </c>
      <c r="Z292" s="5">
        <f t="shared" si="95"/>
        <v>0</v>
      </c>
      <c r="AB292" s="5">
        <f t="shared" si="83"/>
        <v>88</v>
      </c>
      <c r="AC292" s="4">
        <f t="shared" si="96"/>
        <v>3804973.333333334</v>
      </c>
      <c r="AD292" s="4">
        <f t="shared" si="97"/>
        <v>4004000</v>
      </c>
      <c r="AE292" s="5">
        <f t="shared" si="98"/>
        <v>-199026.66666666605</v>
      </c>
      <c r="AF292" s="3" t="str">
        <f t="shared" si="99"/>
        <v>N</v>
      </c>
      <c r="AH292" s="4">
        <f t="shared" si="100"/>
        <v>518860.00000000012</v>
      </c>
      <c r="AI292" s="4">
        <f t="shared" si="101"/>
        <v>546000</v>
      </c>
    </row>
    <row r="293" spans="1:35">
      <c r="A293" s="3">
        <v>291</v>
      </c>
      <c r="B293" s="3" t="s">
        <v>956</v>
      </c>
      <c r="C293" s="3" t="s">
        <v>667</v>
      </c>
      <c r="D293" s="4">
        <v>788</v>
      </c>
      <c r="E293" s="4">
        <v>6411965.4730842067</v>
      </c>
      <c r="F293" s="4">
        <v>0</v>
      </c>
      <c r="G293" s="4">
        <v>0</v>
      </c>
      <c r="H293" s="4">
        <f t="shared" si="84"/>
        <v>6411965.4730842067</v>
      </c>
      <c r="I293" s="4">
        <f t="shared" si="85"/>
        <v>8137.0120216804653</v>
      </c>
      <c r="J293" s="4">
        <v>752.7</v>
      </c>
      <c r="K293" s="5">
        <f t="shared" si="86"/>
        <v>752.7</v>
      </c>
      <c r="L293" s="4">
        <v>9840</v>
      </c>
      <c r="M293" s="4">
        <f t="shared" si="82"/>
        <v>7693804.5243653208</v>
      </c>
      <c r="N293" s="4">
        <f t="shared" si="87"/>
        <v>1281839.0512811139</v>
      </c>
      <c r="O293" s="4">
        <f t="shared" si="88"/>
        <v>1281839.0512811139</v>
      </c>
      <c r="P293" s="4">
        <f t="shared" si="89"/>
        <v>0</v>
      </c>
      <c r="T293" s="4">
        <f t="shared" si="102"/>
        <v>8137.0120216804653</v>
      </c>
      <c r="U293" s="4">
        <f t="shared" si="91"/>
        <v>1281839.0512811139</v>
      </c>
      <c r="V293" s="4">
        <f t="shared" si="92"/>
        <v>1281839.0512811139</v>
      </c>
      <c r="W293" s="4">
        <f t="shared" si="93"/>
        <v>0</v>
      </c>
      <c r="X293" s="5">
        <f t="shared" si="94"/>
        <v>7693804.5243653208</v>
      </c>
      <c r="Y293" s="5">
        <f t="shared" si="95"/>
        <v>0</v>
      </c>
      <c r="Z293" s="5">
        <f t="shared" si="95"/>
        <v>0</v>
      </c>
      <c r="AB293" s="5">
        <f t="shared" si="83"/>
        <v>35.299999999999955</v>
      </c>
      <c r="AC293" s="4">
        <f t="shared" si="96"/>
        <v>287236.52436532005</v>
      </c>
      <c r="AD293" s="4">
        <f t="shared" si="97"/>
        <v>347351.99999999953</v>
      </c>
      <c r="AE293" s="5">
        <f t="shared" si="98"/>
        <v>-60115.475634679489</v>
      </c>
      <c r="AF293" s="3" t="str">
        <f t="shared" si="99"/>
        <v>N</v>
      </c>
      <c r="AH293" s="4">
        <f t="shared" si="100"/>
        <v>6124728.9487188868</v>
      </c>
      <c r="AI293" s="4">
        <f t="shared" si="101"/>
        <v>7406568</v>
      </c>
    </row>
    <row r="294" spans="1:35">
      <c r="A294" s="3">
        <v>292</v>
      </c>
      <c r="B294" s="3" t="s">
        <v>957</v>
      </c>
      <c r="C294" s="3" t="s">
        <v>667</v>
      </c>
      <c r="D294" s="4">
        <v>22000</v>
      </c>
      <c r="E294" s="4">
        <v>86881068.818367675</v>
      </c>
      <c r="F294" s="4">
        <v>0</v>
      </c>
      <c r="G294" s="4">
        <v>0</v>
      </c>
      <c r="H294" s="4">
        <f t="shared" si="84"/>
        <v>86881068.818367675</v>
      </c>
      <c r="I294" s="4">
        <f t="shared" si="85"/>
        <v>3949.1394917439852</v>
      </c>
      <c r="J294" s="4">
        <v>21872</v>
      </c>
      <c r="K294" s="5">
        <f t="shared" si="86"/>
        <v>21872</v>
      </c>
      <c r="L294" s="4">
        <v>2300</v>
      </c>
      <c r="M294" s="4">
        <f t="shared" si="82"/>
        <v>50811089.854943231</v>
      </c>
      <c r="N294" s="4">
        <f t="shared" si="87"/>
        <v>-36069978.963424444</v>
      </c>
      <c r="O294" s="4">
        <f t="shared" si="88"/>
        <v>0</v>
      </c>
      <c r="P294" s="4">
        <f t="shared" si="89"/>
        <v>-36069978.963424444</v>
      </c>
      <c r="T294" s="4">
        <f t="shared" si="102"/>
        <v>3949.1394917439852</v>
      </c>
      <c r="U294" s="4">
        <f t="shared" si="91"/>
        <v>-36069978.963424444</v>
      </c>
      <c r="V294" s="4">
        <f t="shared" si="92"/>
        <v>0</v>
      </c>
      <c r="W294" s="4">
        <f t="shared" si="93"/>
        <v>-36069978.963424444</v>
      </c>
      <c r="X294" s="5">
        <f t="shared" si="94"/>
        <v>50811089.854943231</v>
      </c>
      <c r="Y294" s="5">
        <f t="shared" si="95"/>
        <v>0</v>
      </c>
      <c r="Z294" s="5">
        <f t="shared" si="95"/>
        <v>0</v>
      </c>
      <c r="AB294" s="5">
        <f t="shared" si="83"/>
        <v>128</v>
      </c>
      <c r="AC294" s="4">
        <f t="shared" si="96"/>
        <v>505489.85494323011</v>
      </c>
      <c r="AD294" s="4">
        <f t="shared" si="97"/>
        <v>294400</v>
      </c>
      <c r="AE294" s="5">
        <f t="shared" si="98"/>
        <v>211089.85494323011</v>
      </c>
      <c r="AF294" s="3" t="str">
        <f t="shared" si="99"/>
        <v>Y</v>
      </c>
      <c r="AH294" s="4">
        <f t="shared" si="100"/>
        <v>86375578.963424444</v>
      </c>
      <c r="AI294" s="4">
        <f t="shared" si="101"/>
        <v>50305600</v>
      </c>
    </row>
    <row r="295" spans="1:35">
      <c r="A295" s="3">
        <v>293</v>
      </c>
      <c r="B295" s="3" t="s">
        <v>958</v>
      </c>
      <c r="C295" s="3" t="s">
        <v>667</v>
      </c>
      <c r="D295" s="4">
        <v>300</v>
      </c>
      <c r="E295" s="4">
        <v>7195511.5966146495</v>
      </c>
      <c r="F295" s="4">
        <v>0</v>
      </c>
      <c r="G295" s="4">
        <v>0</v>
      </c>
      <c r="H295" s="4">
        <f t="shared" si="84"/>
        <v>7195511.5966146495</v>
      </c>
      <c r="I295" s="4">
        <f t="shared" si="85"/>
        <v>23985.038655382166</v>
      </c>
      <c r="J295" s="4">
        <v>224.4</v>
      </c>
      <c r="K295" s="5">
        <f t="shared" si="86"/>
        <v>224.4</v>
      </c>
      <c r="L295" s="4">
        <v>23985.038655382166</v>
      </c>
      <c r="M295" s="4">
        <f t="shared" si="82"/>
        <v>7195511.5966146495</v>
      </c>
      <c r="N295" s="4">
        <f t="shared" si="87"/>
        <v>0</v>
      </c>
      <c r="O295" s="4">
        <f t="shared" si="88"/>
        <v>0</v>
      </c>
      <c r="P295" s="4">
        <f t="shared" si="89"/>
        <v>0</v>
      </c>
      <c r="Q295" s="3" t="s">
        <v>715</v>
      </c>
      <c r="T295" s="4">
        <f t="shared" si="102"/>
        <v>23985.038655382166</v>
      </c>
      <c r="U295" s="4">
        <f t="shared" si="91"/>
        <v>0</v>
      </c>
      <c r="V295" s="4">
        <f t="shared" si="92"/>
        <v>0</v>
      </c>
      <c r="W295" s="4">
        <f t="shared" si="93"/>
        <v>0</v>
      </c>
      <c r="X295" s="5">
        <f t="shared" si="94"/>
        <v>7195511.5966146495</v>
      </c>
      <c r="Y295" s="5">
        <f t="shared" si="95"/>
        <v>0</v>
      </c>
      <c r="Z295" s="5">
        <f t="shared" si="95"/>
        <v>0</v>
      </c>
      <c r="AB295" s="5">
        <f t="shared" si="83"/>
        <v>75.599999999999994</v>
      </c>
      <c r="AC295" s="4">
        <f t="shared" si="96"/>
        <v>1813268.9223468916</v>
      </c>
      <c r="AD295" s="4">
        <f t="shared" si="97"/>
        <v>1813268.9223468916</v>
      </c>
      <c r="AE295" s="5">
        <f t="shared" si="98"/>
        <v>0</v>
      </c>
      <c r="AF295" s="3" t="str">
        <f t="shared" si="99"/>
        <v>N</v>
      </c>
      <c r="AH295" s="4">
        <f t="shared" si="100"/>
        <v>5382242.6742677586</v>
      </c>
      <c r="AI295" s="4">
        <f t="shared" si="101"/>
        <v>5382242.6742677586</v>
      </c>
    </row>
    <row r="296" spans="1:35">
      <c r="A296" s="3">
        <v>294</v>
      </c>
      <c r="B296" s="3" t="s">
        <v>959</v>
      </c>
      <c r="C296" s="3" t="s">
        <v>667</v>
      </c>
      <c r="D296" s="4">
        <v>2450</v>
      </c>
      <c r="E296" s="4">
        <v>68421843.559198603</v>
      </c>
      <c r="F296" s="4">
        <v>0</v>
      </c>
      <c r="G296" s="4">
        <v>0</v>
      </c>
      <c r="H296" s="4">
        <f t="shared" si="84"/>
        <v>68421843.559198603</v>
      </c>
      <c r="I296" s="4">
        <f t="shared" si="85"/>
        <v>27927.283085387186</v>
      </c>
      <c r="J296" s="4">
        <v>2363.9</v>
      </c>
      <c r="K296" s="5">
        <f t="shared" si="86"/>
        <v>2363.9</v>
      </c>
      <c r="L296" s="4">
        <v>23900</v>
      </c>
      <c r="M296" s="4">
        <f t="shared" si="82"/>
        <v>58901749.073651835</v>
      </c>
      <c r="N296" s="4">
        <f t="shared" si="87"/>
        <v>-9520094.4855467677</v>
      </c>
      <c r="O296" s="4">
        <f t="shared" si="88"/>
        <v>0</v>
      </c>
      <c r="P296" s="4">
        <f t="shared" si="89"/>
        <v>-9520094.4855467677</v>
      </c>
      <c r="T296" s="4">
        <f t="shared" si="102"/>
        <v>27927.283085387186</v>
      </c>
      <c r="U296" s="4">
        <f t="shared" si="91"/>
        <v>-9520094.4855467677</v>
      </c>
      <c r="V296" s="4">
        <f t="shared" si="92"/>
        <v>0</v>
      </c>
      <c r="W296" s="4">
        <f t="shared" si="93"/>
        <v>-9520094.4855467677</v>
      </c>
      <c r="X296" s="5">
        <f t="shared" si="94"/>
        <v>58901749.073651835</v>
      </c>
      <c r="Y296" s="5">
        <f t="shared" si="95"/>
        <v>0</v>
      </c>
      <c r="Z296" s="5">
        <f t="shared" si="95"/>
        <v>0</v>
      </c>
      <c r="AB296" s="5">
        <f t="shared" si="83"/>
        <v>86.099999999999909</v>
      </c>
      <c r="AC296" s="4">
        <f t="shared" si="96"/>
        <v>2404539.0736518339</v>
      </c>
      <c r="AD296" s="4">
        <f t="shared" si="97"/>
        <v>2057789.9999999979</v>
      </c>
      <c r="AE296" s="5">
        <f t="shared" si="98"/>
        <v>346749.07365183602</v>
      </c>
      <c r="AF296" s="3" t="str">
        <f t="shared" si="99"/>
        <v>Y</v>
      </c>
      <c r="AH296" s="4">
        <f t="shared" si="100"/>
        <v>66017304.485546768</v>
      </c>
      <c r="AI296" s="4">
        <f t="shared" si="101"/>
        <v>56497210</v>
      </c>
    </row>
    <row r="297" spans="1:35">
      <c r="A297" s="3">
        <v>295</v>
      </c>
      <c r="B297" s="3" t="s">
        <v>960</v>
      </c>
      <c r="C297" s="3" t="s">
        <v>667</v>
      </c>
      <c r="D297" s="4">
        <v>1901</v>
      </c>
      <c r="E297" s="4">
        <v>8547160.2177515179</v>
      </c>
      <c r="F297" s="4">
        <v>0</v>
      </c>
      <c r="G297" s="4">
        <v>0</v>
      </c>
      <c r="H297" s="4">
        <f t="shared" si="84"/>
        <v>8547160.2177515179</v>
      </c>
      <c r="I297" s="4">
        <f t="shared" si="85"/>
        <v>4496.1389888224712</v>
      </c>
      <c r="J297" s="4">
        <v>1871.5</v>
      </c>
      <c r="K297" s="5">
        <f t="shared" si="86"/>
        <v>1871.5</v>
      </c>
      <c r="L297" s="4">
        <v>5650</v>
      </c>
      <c r="M297" s="4">
        <f t="shared" si="82"/>
        <v>10706611.100170262</v>
      </c>
      <c r="N297" s="4">
        <f t="shared" si="87"/>
        <v>2159450.8824187452</v>
      </c>
      <c r="O297" s="4">
        <f t="shared" si="88"/>
        <v>2159450.8824187452</v>
      </c>
      <c r="P297" s="4">
        <f t="shared" si="89"/>
        <v>0</v>
      </c>
      <c r="T297" s="4">
        <f t="shared" si="102"/>
        <v>4496.1389888224712</v>
      </c>
      <c r="U297" s="4">
        <f t="shared" si="91"/>
        <v>2159450.8824187452</v>
      </c>
      <c r="V297" s="4">
        <f t="shared" si="92"/>
        <v>2159450.8824187452</v>
      </c>
      <c r="W297" s="4">
        <f t="shared" si="93"/>
        <v>0</v>
      </c>
      <c r="X297" s="5">
        <f t="shared" si="94"/>
        <v>10706611.100170262</v>
      </c>
      <c r="Y297" s="5">
        <f t="shared" si="95"/>
        <v>0</v>
      </c>
      <c r="Z297" s="5">
        <f t="shared" si="95"/>
        <v>0</v>
      </c>
      <c r="AB297" s="5">
        <f t="shared" si="83"/>
        <v>29.5</v>
      </c>
      <c r="AC297" s="4">
        <f t="shared" si="96"/>
        <v>132636.10017026291</v>
      </c>
      <c r="AD297" s="4">
        <f t="shared" si="97"/>
        <v>166675</v>
      </c>
      <c r="AE297" s="5">
        <f t="shared" si="98"/>
        <v>-34038.899829737085</v>
      </c>
      <c r="AF297" s="3" t="str">
        <f t="shared" si="99"/>
        <v>N</v>
      </c>
      <c r="AH297" s="4">
        <f t="shared" si="100"/>
        <v>8414524.1175812557</v>
      </c>
      <c r="AI297" s="4">
        <f t="shared" si="101"/>
        <v>10573975</v>
      </c>
    </row>
    <row r="298" spans="1:35">
      <c r="A298" s="3">
        <v>296</v>
      </c>
      <c r="B298" s="3" t="s">
        <v>961</v>
      </c>
      <c r="C298" s="3" t="s">
        <v>667</v>
      </c>
      <c r="D298" s="4">
        <v>600</v>
      </c>
      <c r="E298" s="4">
        <v>30841692.265315842</v>
      </c>
      <c r="F298" s="4">
        <v>0</v>
      </c>
      <c r="G298" s="4">
        <v>0</v>
      </c>
      <c r="H298" s="4">
        <f t="shared" si="84"/>
        <v>30841692.265315842</v>
      </c>
      <c r="I298" s="4">
        <f t="shared" si="85"/>
        <v>51402.820442193071</v>
      </c>
      <c r="J298" s="4">
        <v>534</v>
      </c>
      <c r="K298" s="5">
        <f t="shared" si="86"/>
        <v>534</v>
      </c>
      <c r="L298" s="4">
        <v>51000</v>
      </c>
      <c r="M298" s="4">
        <f t="shared" si="82"/>
        <v>30626586.149184741</v>
      </c>
      <c r="N298" s="4">
        <f t="shared" si="87"/>
        <v>-215106.11613110011</v>
      </c>
      <c r="O298" s="4">
        <f t="shared" si="88"/>
        <v>0</v>
      </c>
      <c r="P298" s="4">
        <f t="shared" si="89"/>
        <v>-215106.11613110011</v>
      </c>
      <c r="T298" s="4">
        <f t="shared" si="102"/>
        <v>51402.820442193071</v>
      </c>
      <c r="U298" s="4">
        <f t="shared" si="91"/>
        <v>-215106.11613110011</v>
      </c>
      <c r="V298" s="4">
        <f t="shared" si="92"/>
        <v>0</v>
      </c>
      <c r="W298" s="4">
        <f t="shared" si="93"/>
        <v>-215106.11613110011</v>
      </c>
      <c r="X298" s="5">
        <f t="shared" si="94"/>
        <v>30626586.149184741</v>
      </c>
      <c r="Y298" s="5">
        <f t="shared" si="95"/>
        <v>0</v>
      </c>
      <c r="Z298" s="5">
        <f t="shared" si="95"/>
        <v>0</v>
      </c>
      <c r="AB298" s="5">
        <f t="shared" si="83"/>
        <v>66</v>
      </c>
      <c r="AC298" s="4">
        <f t="shared" si="96"/>
        <v>3392586.1491847429</v>
      </c>
      <c r="AD298" s="4">
        <f t="shared" si="97"/>
        <v>3366000</v>
      </c>
      <c r="AE298" s="5">
        <f t="shared" si="98"/>
        <v>26586.149184742942</v>
      </c>
      <c r="AF298" s="3" t="str">
        <f t="shared" si="99"/>
        <v>Y</v>
      </c>
      <c r="AH298" s="4">
        <f t="shared" si="100"/>
        <v>27449106.116131101</v>
      </c>
      <c r="AI298" s="4">
        <f t="shared" si="101"/>
        <v>27234000</v>
      </c>
    </row>
    <row r="299" spans="1:35">
      <c r="A299" s="3">
        <v>297</v>
      </c>
      <c r="B299" s="3" t="s">
        <v>962</v>
      </c>
      <c r="C299" s="3" t="s">
        <v>667</v>
      </c>
      <c r="D299" s="4">
        <v>2960</v>
      </c>
      <c r="E299" s="4">
        <v>19205354.028967462</v>
      </c>
      <c r="F299" s="4">
        <v>0</v>
      </c>
      <c r="G299" s="4">
        <v>0</v>
      </c>
      <c r="H299" s="4">
        <f t="shared" si="84"/>
        <v>19205354.028967462</v>
      </c>
      <c r="I299" s="4">
        <f t="shared" si="85"/>
        <v>6488.2952800565754</v>
      </c>
      <c r="J299" s="4">
        <v>2840.8</v>
      </c>
      <c r="K299" s="5">
        <f t="shared" si="86"/>
        <v>2840.8</v>
      </c>
      <c r="L299" s="4">
        <v>8280</v>
      </c>
      <c r="M299" s="4">
        <f t="shared" si="82"/>
        <v>24295228.797382742</v>
      </c>
      <c r="N299" s="4">
        <f t="shared" si="87"/>
        <v>5089874.7684152806</v>
      </c>
      <c r="O299" s="4">
        <f t="shared" si="88"/>
        <v>5089874.7684152806</v>
      </c>
      <c r="P299" s="4">
        <f t="shared" si="89"/>
        <v>0</v>
      </c>
      <c r="T299" s="4">
        <f t="shared" si="102"/>
        <v>6488.2952800565754</v>
      </c>
      <c r="U299" s="4">
        <f t="shared" si="91"/>
        <v>5089874.7684152806</v>
      </c>
      <c r="V299" s="4">
        <f t="shared" si="92"/>
        <v>5089874.7684152806</v>
      </c>
      <c r="W299" s="4">
        <f t="shared" si="93"/>
        <v>0</v>
      </c>
      <c r="X299" s="5">
        <f t="shared" si="94"/>
        <v>24295228.797382742</v>
      </c>
      <c r="Y299" s="5">
        <f t="shared" si="95"/>
        <v>0</v>
      </c>
      <c r="Z299" s="5">
        <f t="shared" si="95"/>
        <v>0</v>
      </c>
      <c r="AB299" s="5">
        <f t="shared" si="83"/>
        <v>119.19999999999982</v>
      </c>
      <c r="AC299" s="4">
        <f t="shared" si="96"/>
        <v>773404.79738274263</v>
      </c>
      <c r="AD299" s="4">
        <f t="shared" si="97"/>
        <v>986975.99999999849</v>
      </c>
      <c r="AE299" s="5">
        <f t="shared" si="98"/>
        <v>-213571.20261725585</v>
      </c>
      <c r="AF299" s="3" t="str">
        <f t="shared" si="99"/>
        <v>N</v>
      </c>
      <c r="AH299" s="4">
        <f t="shared" si="100"/>
        <v>18431949.23158472</v>
      </c>
      <c r="AI299" s="4">
        <f t="shared" si="101"/>
        <v>23521824</v>
      </c>
    </row>
    <row r="300" spans="1:35">
      <c r="A300" s="3">
        <v>298</v>
      </c>
      <c r="B300" s="3" t="s">
        <v>963</v>
      </c>
      <c r="C300" s="3" t="s">
        <v>667</v>
      </c>
      <c r="D300" s="4">
        <v>11</v>
      </c>
      <c r="E300" s="4">
        <v>-41104676.214145929</v>
      </c>
      <c r="F300" s="4">
        <v>41584999</v>
      </c>
      <c r="G300" s="4">
        <v>0</v>
      </c>
      <c r="H300" s="4">
        <f t="shared" si="84"/>
        <v>480322.78585407138</v>
      </c>
      <c r="I300" s="4">
        <f t="shared" si="85"/>
        <v>-3736788.7467405391</v>
      </c>
      <c r="J300" s="4">
        <v>444.2</v>
      </c>
      <c r="K300" s="5">
        <f t="shared" si="86"/>
        <v>11</v>
      </c>
      <c r="L300" s="4">
        <v>45000</v>
      </c>
      <c r="M300" s="4">
        <f t="shared" si="82"/>
        <v>495000</v>
      </c>
      <c r="N300" s="4">
        <f t="shared" si="87"/>
        <v>41599676.214145929</v>
      </c>
      <c r="O300" s="4">
        <f t="shared" si="88"/>
        <v>41599676.214145929</v>
      </c>
      <c r="P300" s="4">
        <f t="shared" si="89"/>
        <v>0</v>
      </c>
      <c r="T300" s="4">
        <f t="shared" si="102"/>
        <v>43665.707804915583</v>
      </c>
      <c r="U300" s="4">
        <f t="shared" si="91"/>
        <v>14677.214145928592</v>
      </c>
      <c r="V300" s="4">
        <f t="shared" si="92"/>
        <v>14677.214145928592</v>
      </c>
      <c r="W300" s="4">
        <f t="shared" si="93"/>
        <v>0</v>
      </c>
      <c r="X300" s="5">
        <f t="shared" si="94"/>
        <v>495000</v>
      </c>
      <c r="Y300" s="5">
        <f t="shared" si="95"/>
        <v>41584999</v>
      </c>
      <c r="Z300" s="5">
        <f t="shared" si="95"/>
        <v>0</v>
      </c>
      <c r="AB300" s="5">
        <f t="shared" si="83"/>
        <v>-433.2</v>
      </c>
      <c r="AC300" s="4">
        <f t="shared" si="96"/>
        <v>-18915984.621089429</v>
      </c>
      <c r="AD300" s="4">
        <f t="shared" si="97"/>
        <v>-19494000</v>
      </c>
      <c r="AE300" s="5">
        <f t="shared" si="98"/>
        <v>0</v>
      </c>
      <c r="AF300" s="3" t="str">
        <f t="shared" si="99"/>
        <v>N</v>
      </c>
      <c r="AH300" s="4">
        <f t="shared" si="100"/>
        <v>480322.78585407138</v>
      </c>
      <c r="AI300" s="4">
        <f t="shared" si="101"/>
        <v>495000</v>
      </c>
    </row>
    <row r="301" spans="1:35">
      <c r="A301" s="3">
        <v>299</v>
      </c>
      <c r="B301" s="3" t="s">
        <v>964</v>
      </c>
      <c r="C301" s="3" t="s">
        <v>667</v>
      </c>
      <c r="D301" s="4">
        <v>400</v>
      </c>
      <c r="E301" s="4">
        <v>7311219.7651404096</v>
      </c>
      <c r="F301" s="4">
        <v>0</v>
      </c>
      <c r="G301" s="4">
        <v>0</v>
      </c>
      <c r="H301" s="4">
        <f t="shared" si="84"/>
        <v>7311219.7651404096</v>
      </c>
      <c r="I301" s="4">
        <f t="shared" si="85"/>
        <v>18278.049412851025</v>
      </c>
      <c r="J301" s="4">
        <v>335.3</v>
      </c>
      <c r="K301" s="5">
        <f t="shared" si="86"/>
        <v>335.3</v>
      </c>
      <c r="L301" s="4">
        <v>15700</v>
      </c>
      <c r="M301" s="4">
        <f t="shared" si="82"/>
        <v>6446799.7970114611</v>
      </c>
      <c r="N301" s="4">
        <f t="shared" si="87"/>
        <v>-864419.96812894882</v>
      </c>
      <c r="O301" s="4">
        <f t="shared" si="88"/>
        <v>0</v>
      </c>
      <c r="P301" s="4">
        <f t="shared" si="89"/>
        <v>-864419.96812894882</v>
      </c>
      <c r="T301" s="4">
        <f t="shared" si="102"/>
        <v>18278.049412851025</v>
      </c>
      <c r="U301" s="4">
        <f t="shared" si="91"/>
        <v>-864419.96812894882</v>
      </c>
      <c r="V301" s="4">
        <f t="shared" si="92"/>
        <v>0</v>
      </c>
      <c r="W301" s="4">
        <f t="shared" si="93"/>
        <v>-864419.96812894882</v>
      </c>
      <c r="X301" s="5">
        <f t="shared" si="94"/>
        <v>6446799.7970114611</v>
      </c>
      <c r="Y301" s="5">
        <f t="shared" si="95"/>
        <v>0</v>
      </c>
      <c r="Z301" s="5">
        <f t="shared" si="95"/>
        <v>0</v>
      </c>
      <c r="AB301" s="5">
        <f t="shared" si="83"/>
        <v>64.699999999999989</v>
      </c>
      <c r="AC301" s="4">
        <f t="shared" si="96"/>
        <v>1182589.7970114611</v>
      </c>
      <c r="AD301" s="4">
        <f t="shared" si="97"/>
        <v>1015789.9999999998</v>
      </c>
      <c r="AE301" s="5">
        <f t="shared" si="98"/>
        <v>166799.79701146134</v>
      </c>
      <c r="AF301" s="3" t="str">
        <f t="shared" si="99"/>
        <v>Y</v>
      </c>
      <c r="AH301" s="4">
        <f t="shared" si="100"/>
        <v>6128629.9681289494</v>
      </c>
      <c r="AI301" s="4">
        <f t="shared" si="101"/>
        <v>5264210</v>
      </c>
    </row>
    <row r="302" spans="1:35">
      <c r="A302" s="3">
        <v>300</v>
      </c>
      <c r="B302" s="3" t="s">
        <v>965</v>
      </c>
      <c r="C302" s="3" t="s">
        <v>667</v>
      </c>
      <c r="D302" s="4">
        <v>500</v>
      </c>
      <c r="E302" s="4">
        <v>2899351.7946343077</v>
      </c>
      <c r="F302" s="4">
        <v>0</v>
      </c>
      <c r="G302" s="4">
        <v>0</v>
      </c>
      <c r="H302" s="4">
        <f t="shared" si="84"/>
        <v>2899351.7946343077</v>
      </c>
      <c r="I302" s="4">
        <f t="shared" si="85"/>
        <v>5798.7035892686154</v>
      </c>
      <c r="J302" s="4">
        <v>418</v>
      </c>
      <c r="K302" s="5">
        <f t="shared" si="86"/>
        <v>418</v>
      </c>
      <c r="L302" s="4">
        <v>5880</v>
      </c>
      <c r="M302" s="4">
        <f t="shared" si="82"/>
        <v>2933333.6943200263</v>
      </c>
      <c r="N302" s="4">
        <f t="shared" si="87"/>
        <v>33981.899685718781</v>
      </c>
      <c r="O302" s="4">
        <f t="shared" si="88"/>
        <v>33981.899685718781</v>
      </c>
      <c r="P302" s="4">
        <f t="shared" si="89"/>
        <v>0</v>
      </c>
      <c r="T302" s="4">
        <f t="shared" si="102"/>
        <v>5798.7035892686154</v>
      </c>
      <c r="U302" s="4">
        <f t="shared" si="91"/>
        <v>33981.899685718781</v>
      </c>
      <c r="V302" s="4">
        <f t="shared" si="92"/>
        <v>33981.899685718781</v>
      </c>
      <c r="W302" s="4">
        <f t="shared" si="93"/>
        <v>0</v>
      </c>
      <c r="X302" s="5">
        <f t="shared" si="94"/>
        <v>2933333.6943200263</v>
      </c>
      <c r="Y302" s="5">
        <f t="shared" si="95"/>
        <v>0</v>
      </c>
      <c r="Z302" s="5">
        <f t="shared" si="95"/>
        <v>0</v>
      </c>
      <c r="AB302" s="5">
        <f t="shared" si="83"/>
        <v>82</v>
      </c>
      <c r="AC302" s="4">
        <f t="shared" si="96"/>
        <v>475493.69432002644</v>
      </c>
      <c r="AD302" s="4">
        <f t="shared" si="97"/>
        <v>482160</v>
      </c>
      <c r="AE302" s="5">
        <f t="shared" si="98"/>
        <v>-6666.3056799735641</v>
      </c>
      <c r="AF302" s="3" t="str">
        <f t="shared" si="99"/>
        <v>N</v>
      </c>
      <c r="AH302" s="4">
        <f t="shared" si="100"/>
        <v>2423858.1003142814</v>
      </c>
      <c r="AI302" s="4">
        <f t="shared" si="101"/>
        <v>2457840</v>
      </c>
    </row>
    <row r="303" spans="1:35">
      <c r="A303" s="3">
        <v>301</v>
      </c>
      <c r="B303" s="3" t="s">
        <v>966</v>
      </c>
      <c r="C303" s="3" t="s">
        <v>667</v>
      </c>
      <c r="D303" s="4">
        <v>1744</v>
      </c>
      <c r="E303" s="4">
        <v>42739253.505164921</v>
      </c>
      <c r="F303" s="4">
        <v>0</v>
      </c>
      <c r="G303" s="4">
        <v>0</v>
      </c>
      <c r="H303" s="4">
        <f t="shared" si="84"/>
        <v>42739253.505164921</v>
      </c>
      <c r="I303" s="4">
        <f t="shared" si="85"/>
        <v>24506.452697915665</v>
      </c>
      <c r="J303" s="4">
        <v>1417</v>
      </c>
      <c r="K303" s="5">
        <f t="shared" si="86"/>
        <v>1417</v>
      </c>
      <c r="L303" s="4">
        <v>21450</v>
      </c>
      <c r="M303" s="4">
        <f t="shared" si="82"/>
        <v>38408260.032218426</v>
      </c>
      <c r="N303" s="4">
        <f t="shared" si="87"/>
        <v>-4330993.4729464976</v>
      </c>
      <c r="O303" s="4">
        <f t="shared" si="88"/>
        <v>0</v>
      </c>
      <c r="P303" s="4">
        <f t="shared" si="89"/>
        <v>-4330993.4729464976</v>
      </c>
      <c r="T303" s="4">
        <f t="shared" si="102"/>
        <v>24506.452697915665</v>
      </c>
      <c r="U303" s="4">
        <f t="shared" si="91"/>
        <v>-4330993.4729464976</v>
      </c>
      <c r="V303" s="4">
        <f t="shared" si="92"/>
        <v>0</v>
      </c>
      <c r="W303" s="4">
        <f t="shared" si="93"/>
        <v>-4330993.4729464976</v>
      </c>
      <c r="X303" s="5">
        <f t="shared" si="94"/>
        <v>38408260.032218426</v>
      </c>
      <c r="Y303" s="5">
        <f t="shared" si="95"/>
        <v>0</v>
      </c>
      <c r="Z303" s="5">
        <f t="shared" si="95"/>
        <v>0</v>
      </c>
      <c r="AB303" s="5">
        <f t="shared" si="83"/>
        <v>327</v>
      </c>
      <c r="AC303" s="4">
        <f t="shared" si="96"/>
        <v>8013610.0322184227</v>
      </c>
      <c r="AD303" s="4">
        <f t="shared" si="97"/>
        <v>7014150</v>
      </c>
      <c r="AE303" s="5">
        <f t="shared" si="98"/>
        <v>999460.03221842274</v>
      </c>
      <c r="AF303" s="3" t="str">
        <f t="shared" si="99"/>
        <v>Y</v>
      </c>
      <c r="AH303" s="4">
        <f t="shared" si="100"/>
        <v>34725643.472946495</v>
      </c>
      <c r="AI303" s="4">
        <f t="shared" si="101"/>
        <v>30394650</v>
      </c>
    </row>
    <row r="304" spans="1:35">
      <c r="A304" s="3">
        <v>302</v>
      </c>
      <c r="B304" s="3" t="s">
        <v>967</v>
      </c>
      <c r="C304" s="3" t="s">
        <v>667</v>
      </c>
      <c r="D304" s="4">
        <v>6200</v>
      </c>
      <c r="E304" s="4">
        <v>19271260.847414359</v>
      </c>
      <c r="F304" s="4">
        <v>0</v>
      </c>
      <c r="G304" s="4">
        <v>0</v>
      </c>
      <c r="H304" s="4">
        <f t="shared" si="84"/>
        <v>19271260.847414359</v>
      </c>
      <c r="I304" s="4">
        <f t="shared" si="85"/>
        <v>3108.2678786152192</v>
      </c>
      <c r="J304" s="4">
        <v>6180.4</v>
      </c>
      <c r="K304" s="5">
        <f t="shared" si="86"/>
        <v>6180.4</v>
      </c>
      <c r="L304" s="4">
        <v>2670</v>
      </c>
      <c r="M304" s="4">
        <f t="shared" si="82"/>
        <v>16562590.050420858</v>
      </c>
      <c r="N304" s="4">
        <f t="shared" si="87"/>
        <v>-2708670.7969935006</v>
      </c>
      <c r="O304" s="4">
        <f t="shared" si="88"/>
        <v>0</v>
      </c>
      <c r="P304" s="4">
        <f t="shared" si="89"/>
        <v>-2708670.7969935006</v>
      </c>
      <c r="T304" s="4">
        <f t="shared" si="102"/>
        <v>3108.2678786152192</v>
      </c>
      <c r="U304" s="4">
        <f t="shared" si="91"/>
        <v>-2708670.7969935006</v>
      </c>
      <c r="V304" s="4">
        <f t="shared" si="92"/>
        <v>0</v>
      </c>
      <c r="W304" s="4">
        <f t="shared" si="93"/>
        <v>-2708670.7969935006</v>
      </c>
      <c r="X304" s="5">
        <f t="shared" si="94"/>
        <v>16562590.050420858</v>
      </c>
      <c r="Y304" s="5">
        <f t="shared" si="95"/>
        <v>0</v>
      </c>
      <c r="Z304" s="5">
        <f t="shared" si="95"/>
        <v>0</v>
      </c>
      <c r="AB304" s="5">
        <f t="shared" si="83"/>
        <v>19.600000000000364</v>
      </c>
      <c r="AC304" s="4">
        <f t="shared" si="96"/>
        <v>60922.050420859428</v>
      </c>
      <c r="AD304" s="4">
        <f t="shared" si="97"/>
        <v>52332.000000000975</v>
      </c>
      <c r="AE304" s="5">
        <f t="shared" si="98"/>
        <v>8590.0504208584534</v>
      </c>
      <c r="AF304" s="3" t="str">
        <f t="shared" si="99"/>
        <v>Y</v>
      </c>
      <c r="AH304" s="4">
        <f t="shared" si="100"/>
        <v>19210338.796993498</v>
      </c>
      <c r="AI304" s="4">
        <f t="shared" si="101"/>
        <v>16501667.999999998</v>
      </c>
    </row>
    <row r="305" spans="1:35">
      <c r="A305" s="3">
        <v>303</v>
      </c>
      <c r="B305" s="3" t="s">
        <v>968</v>
      </c>
      <c r="C305" s="3" t="s">
        <v>667</v>
      </c>
      <c r="D305" s="4">
        <v>2000</v>
      </c>
      <c r="E305" s="4">
        <v>8072439.7830321454</v>
      </c>
      <c r="F305" s="4">
        <v>0</v>
      </c>
      <c r="G305" s="4">
        <v>0</v>
      </c>
      <c r="H305" s="4">
        <f t="shared" si="84"/>
        <v>8072439.7830321454</v>
      </c>
      <c r="I305" s="4">
        <f t="shared" si="85"/>
        <v>4036.2198915160725</v>
      </c>
      <c r="J305" s="4">
        <v>1969.9</v>
      </c>
      <c r="K305" s="5">
        <f t="shared" si="86"/>
        <v>1969.9</v>
      </c>
      <c r="L305" s="4">
        <v>4620</v>
      </c>
      <c r="M305" s="4">
        <f t="shared" si="82"/>
        <v>9222428.2187346332</v>
      </c>
      <c r="N305" s="4">
        <f t="shared" si="87"/>
        <v>1149988.4357024888</v>
      </c>
      <c r="O305" s="4">
        <f t="shared" si="88"/>
        <v>1149988.4357024888</v>
      </c>
      <c r="P305" s="4">
        <f t="shared" si="89"/>
        <v>0</v>
      </c>
      <c r="T305" s="4">
        <f t="shared" si="102"/>
        <v>4036.2198915160725</v>
      </c>
      <c r="U305" s="4">
        <f t="shared" si="91"/>
        <v>1149988.4357024888</v>
      </c>
      <c r="V305" s="4">
        <f t="shared" si="92"/>
        <v>1149988.4357024888</v>
      </c>
      <c r="W305" s="4">
        <f t="shared" si="93"/>
        <v>0</v>
      </c>
      <c r="X305" s="5">
        <f t="shared" si="94"/>
        <v>9222428.2187346332</v>
      </c>
      <c r="Y305" s="5">
        <f t="shared" si="95"/>
        <v>0</v>
      </c>
      <c r="Z305" s="5">
        <f t="shared" si="95"/>
        <v>0</v>
      </c>
      <c r="AB305" s="5">
        <f t="shared" si="83"/>
        <v>30.099999999999909</v>
      </c>
      <c r="AC305" s="4">
        <f t="shared" si="96"/>
        <v>121490.21873463341</v>
      </c>
      <c r="AD305" s="4">
        <f t="shared" si="97"/>
        <v>139061.99999999959</v>
      </c>
      <c r="AE305" s="5">
        <f t="shared" si="98"/>
        <v>-17571.781265366182</v>
      </c>
      <c r="AF305" s="3" t="str">
        <f t="shared" si="99"/>
        <v>N</v>
      </c>
      <c r="AH305" s="4">
        <f t="shared" si="100"/>
        <v>7950949.5642975112</v>
      </c>
      <c r="AI305" s="4">
        <f t="shared" si="101"/>
        <v>9100938</v>
      </c>
    </row>
    <row r="306" spans="1:35">
      <c r="A306" s="3">
        <v>304</v>
      </c>
      <c r="B306" s="3" t="s">
        <v>969</v>
      </c>
      <c r="C306" s="3" t="s">
        <v>667</v>
      </c>
      <c r="D306" s="4">
        <v>38272</v>
      </c>
      <c r="E306" s="4">
        <v>541058826.14647639</v>
      </c>
      <c r="F306" s="4">
        <v>0</v>
      </c>
      <c r="G306" s="4">
        <v>0</v>
      </c>
      <c r="H306" s="4">
        <f t="shared" si="84"/>
        <v>541058826.14647639</v>
      </c>
      <c r="I306" s="4">
        <f t="shared" si="85"/>
        <v>14137.197589529587</v>
      </c>
      <c r="J306" s="4">
        <v>38030.400000000001</v>
      </c>
      <c r="K306" s="5">
        <f t="shared" si="86"/>
        <v>38030.400000000001</v>
      </c>
      <c r="L306" s="4">
        <v>17400</v>
      </c>
      <c r="M306" s="4">
        <f t="shared" si="82"/>
        <v>665144506.93763041</v>
      </c>
      <c r="N306" s="4">
        <f t="shared" si="87"/>
        <v>124085680.79115398</v>
      </c>
      <c r="O306" s="4">
        <f t="shared" si="88"/>
        <v>124085680.79115398</v>
      </c>
      <c r="P306" s="4">
        <f t="shared" si="89"/>
        <v>0</v>
      </c>
      <c r="T306" s="4">
        <f t="shared" si="102"/>
        <v>14137.197589529587</v>
      </c>
      <c r="U306" s="4">
        <f t="shared" si="91"/>
        <v>124085680.79115398</v>
      </c>
      <c r="V306" s="4">
        <f t="shared" si="92"/>
        <v>124085680.79115398</v>
      </c>
      <c r="W306" s="4">
        <f t="shared" si="93"/>
        <v>0</v>
      </c>
      <c r="X306" s="5">
        <f t="shared" si="94"/>
        <v>665144506.93763041</v>
      </c>
      <c r="Y306" s="5">
        <f t="shared" si="95"/>
        <v>0</v>
      </c>
      <c r="Z306" s="5">
        <f t="shared" si="95"/>
        <v>0</v>
      </c>
      <c r="AB306" s="5">
        <f t="shared" si="83"/>
        <v>241.59999999999854</v>
      </c>
      <c r="AC306" s="4">
        <f t="shared" si="96"/>
        <v>3415546.9376303279</v>
      </c>
      <c r="AD306" s="4">
        <f t="shared" si="97"/>
        <v>4203839.9999999749</v>
      </c>
      <c r="AE306" s="5">
        <f t="shared" si="98"/>
        <v>-788293.06236964697</v>
      </c>
      <c r="AF306" s="3" t="str">
        <f t="shared" si="99"/>
        <v>N</v>
      </c>
      <c r="AH306" s="4">
        <f t="shared" si="100"/>
        <v>537643279.20884609</v>
      </c>
      <c r="AI306" s="4">
        <f t="shared" si="101"/>
        <v>661728960</v>
      </c>
    </row>
    <row r="307" spans="1:35">
      <c r="A307" s="3">
        <v>305</v>
      </c>
      <c r="B307" s="3" t="s">
        <v>970</v>
      </c>
      <c r="C307" s="3" t="s">
        <v>667</v>
      </c>
      <c r="D307" s="4">
        <v>200</v>
      </c>
      <c r="E307" s="4">
        <v>18325171.34510988</v>
      </c>
      <c r="F307" s="4">
        <v>0</v>
      </c>
      <c r="G307" s="4">
        <v>0</v>
      </c>
      <c r="H307" s="4">
        <f t="shared" si="84"/>
        <v>18325171.34510988</v>
      </c>
      <c r="I307" s="4">
        <f t="shared" si="85"/>
        <v>91625.856725549398</v>
      </c>
      <c r="J307" s="4">
        <v>197</v>
      </c>
      <c r="K307" s="5">
        <f t="shared" si="86"/>
        <v>197</v>
      </c>
      <c r="L307" s="4">
        <v>89000</v>
      </c>
      <c r="M307" s="4">
        <f t="shared" si="82"/>
        <v>17807877.57017665</v>
      </c>
      <c r="N307" s="4">
        <f t="shared" si="87"/>
        <v>-517293.77493323141</v>
      </c>
      <c r="O307" s="4">
        <f t="shared" si="88"/>
        <v>0</v>
      </c>
      <c r="P307" s="4">
        <f t="shared" si="89"/>
        <v>-517293.77493323141</v>
      </c>
      <c r="T307" s="4">
        <f t="shared" si="102"/>
        <v>91625.856725549398</v>
      </c>
      <c r="U307" s="4">
        <f t="shared" si="91"/>
        <v>-517293.77493323141</v>
      </c>
      <c r="V307" s="4">
        <f t="shared" si="92"/>
        <v>0</v>
      </c>
      <c r="W307" s="4">
        <f t="shared" si="93"/>
        <v>-517293.77493323141</v>
      </c>
      <c r="X307" s="5">
        <f t="shared" si="94"/>
        <v>17807877.57017665</v>
      </c>
      <c r="Y307" s="5">
        <f t="shared" si="95"/>
        <v>0</v>
      </c>
      <c r="Z307" s="5">
        <f t="shared" si="95"/>
        <v>0</v>
      </c>
      <c r="AB307" s="5">
        <f t="shared" si="83"/>
        <v>3</v>
      </c>
      <c r="AC307" s="4">
        <f t="shared" si="96"/>
        <v>274877.57017664821</v>
      </c>
      <c r="AD307" s="4">
        <f t="shared" si="97"/>
        <v>267000</v>
      </c>
      <c r="AE307" s="5">
        <f t="shared" si="98"/>
        <v>7877.5701766482089</v>
      </c>
      <c r="AF307" s="3" t="str">
        <f t="shared" si="99"/>
        <v>Y</v>
      </c>
      <c r="AH307" s="4">
        <f t="shared" si="100"/>
        <v>18050293.77493323</v>
      </c>
      <c r="AI307" s="4">
        <f t="shared" si="101"/>
        <v>17533000</v>
      </c>
    </row>
    <row r="308" spans="1:35">
      <c r="A308" s="3">
        <v>306</v>
      </c>
      <c r="B308" s="3" t="s">
        <v>971</v>
      </c>
      <c r="C308" s="3" t="s">
        <v>667</v>
      </c>
      <c r="D308" s="4">
        <v>10066</v>
      </c>
      <c r="E308" s="4">
        <v>38904830.82652992</v>
      </c>
      <c r="F308" s="4">
        <v>0</v>
      </c>
      <c r="G308" s="4">
        <v>0</v>
      </c>
      <c r="H308" s="4">
        <f t="shared" si="84"/>
        <v>38904830.82652992</v>
      </c>
      <c r="I308" s="4">
        <f t="shared" si="85"/>
        <v>3864.9742525859251</v>
      </c>
      <c r="J308" s="4">
        <v>10012</v>
      </c>
      <c r="K308" s="5">
        <f t="shared" si="86"/>
        <v>10012</v>
      </c>
      <c r="L308" s="4">
        <v>3740</v>
      </c>
      <c r="M308" s="4">
        <f t="shared" si="82"/>
        <v>37653588.609639637</v>
      </c>
      <c r="N308" s="4">
        <f t="shared" si="87"/>
        <v>-1251242.2168902822</v>
      </c>
      <c r="O308" s="4">
        <f t="shared" si="88"/>
        <v>0</v>
      </c>
      <c r="P308" s="4">
        <f t="shared" si="89"/>
        <v>-1251242.2168902822</v>
      </c>
      <c r="T308" s="4">
        <f t="shared" si="102"/>
        <v>3864.9742525859251</v>
      </c>
      <c r="U308" s="4">
        <f t="shared" si="91"/>
        <v>-1251242.2168902822</v>
      </c>
      <c r="V308" s="4">
        <f t="shared" si="92"/>
        <v>0</v>
      </c>
      <c r="W308" s="4">
        <f t="shared" si="93"/>
        <v>-1251242.2168902822</v>
      </c>
      <c r="X308" s="5">
        <f t="shared" si="94"/>
        <v>37653588.609639637</v>
      </c>
      <c r="Y308" s="5">
        <f t="shared" si="95"/>
        <v>0</v>
      </c>
      <c r="Z308" s="5">
        <f t="shared" si="95"/>
        <v>0</v>
      </c>
      <c r="AB308" s="5">
        <f t="shared" si="83"/>
        <v>54</v>
      </c>
      <c r="AC308" s="4">
        <f t="shared" si="96"/>
        <v>208708.60963963997</v>
      </c>
      <c r="AD308" s="4">
        <f t="shared" si="97"/>
        <v>201960</v>
      </c>
      <c r="AE308" s="5">
        <f t="shared" si="98"/>
        <v>6748.6096396399662</v>
      </c>
      <c r="AF308" s="3" t="str">
        <f t="shared" si="99"/>
        <v>Y</v>
      </c>
      <c r="AH308" s="4">
        <f t="shared" si="100"/>
        <v>38696122.216890283</v>
      </c>
      <c r="AI308" s="4">
        <f t="shared" si="101"/>
        <v>37444880</v>
      </c>
    </row>
    <row r="309" spans="1:35">
      <c r="A309" s="3">
        <v>307</v>
      </c>
      <c r="B309" s="3" t="s">
        <v>972</v>
      </c>
      <c r="C309" s="3" t="s">
        <v>667</v>
      </c>
      <c r="D309" s="4">
        <v>3820</v>
      </c>
      <c r="E309" s="4">
        <v>39193100.885700919</v>
      </c>
      <c r="F309" s="4">
        <v>0</v>
      </c>
      <c r="G309" s="4">
        <v>0</v>
      </c>
      <c r="H309" s="4">
        <f t="shared" si="84"/>
        <v>39193100.885700919</v>
      </c>
      <c r="I309" s="4">
        <f t="shared" si="85"/>
        <v>10259.974053848407</v>
      </c>
      <c r="J309" s="4">
        <v>3776.8</v>
      </c>
      <c r="K309" s="5">
        <f t="shared" si="86"/>
        <v>3776.8</v>
      </c>
      <c r="L309" s="4">
        <v>7990</v>
      </c>
      <c r="M309" s="4">
        <f t="shared" si="82"/>
        <v>30619862.879126251</v>
      </c>
      <c r="N309" s="4">
        <f t="shared" si="87"/>
        <v>-8573238.0065746661</v>
      </c>
      <c r="O309" s="4">
        <f t="shared" si="88"/>
        <v>0</v>
      </c>
      <c r="P309" s="4">
        <f t="shared" si="89"/>
        <v>-8573238.0065746661</v>
      </c>
      <c r="T309" s="4">
        <f t="shared" si="102"/>
        <v>10259.974053848407</v>
      </c>
      <c r="U309" s="4">
        <f t="shared" si="91"/>
        <v>-8573238.0065746661</v>
      </c>
      <c r="V309" s="4">
        <f t="shared" si="92"/>
        <v>0</v>
      </c>
      <c r="W309" s="4">
        <f t="shared" si="93"/>
        <v>-8573238.0065746661</v>
      </c>
      <c r="X309" s="5">
        <f t="shared" si="94"/>
        <v>30619862.879126251</v>
      </c>
      <c r="Y309" s="5">
        <f t="shared" si="95"/>
        <v>0</v>
      </c>
      <c r="Z309" s="5">
        <f t="shared" si="95"/>
        <v>0</v>
      </c>
      <c r="AB309" s="5">
        <f t="shared" si="83"/>
        <v>43.199999999999818</v>
      </c>
      <c r="AC309" s="4">
        <f t="shared" si="96"/>
        <v>443230.87912624935</v>
      </c>
      <c r="AD309" s="4">
        <f t="shared" si="97"/>
        <v>345167.99999999854</v>
      </c>
      <c r="AE309" s="5">
        <f t="shared" si="98"/>
        <v>98062.879126250802</v>
      </c>
      <c r="AF309" s="3" t="str">
        <f t="shared" si="99"/>
        <v>Y</v>
      </c>
      <c r="AH309" s="4">
        <f t="shared" si="100"/>
        <v>38749870.006574668</v>
      </c>
      <c r="AI309" s="4">
        <f t="shared" si="101"/>
        <v>30176632</v>
      </c>
    </row>
    <row r="310" spans="1:35">
      <c r="A310" s="3">
        <v>308</v>
      </c>
      <c r="B310" s="3" t="s">
        <v>973</v>
      </c>
      <c r="C310" s="3" t="s">
        <v>667</v>
      </c>
      <c r="D310" s="4">
        <v>8000</v>
      </c>
      <c r="E310" s="4">
        <v>19613416.296442408</v>
      </c>
      <c r="F310" s="4">
        <v>0</v>
      </c>
      <c r="G310" s="4">
        <v>0</v>
      </c>
      <c r="H310" s="4">
        <f t="shared" si="84"/>
        <v>19613416.296442408</v>
      </c>
      <c r="I310" s="4">
        <f t="shared" si="85"/>
        <v>2451.6770370553008</v>
      </c>
      <c r="J310" s="4">
        <v>7900</v>
      </c>
      <c r="K310" s="5">
        <f t="shared" si="86"/>
        <v>7900</v>
      </c>
      <c r="L310" s="4">
        <v>1830</v>
      </c>
      <c r="M310" s="4">
        <f t="shared" si="82"/>
        <v>14702167.703705531</v>
      </c>
      <c r="N310" s="4">
        <f t="shared" si="87"/>
        <v>-4911248.5927368766</v>
      </c>
      <c r="O310" s="4">
        <f t="shared" si="88"/>
        <v>0</v>
      </c>
      <c r="P310" s="4">
        <f t="shared" si="89"/>
        <v>-4911248.5927368766</v>
      </c>
      <c r="T310" s="4">
        <f t="shared" si="102"/>
        <v>2451.6770370553008</v>
      </c>
      <c r="U310" s="4">
        <f t="shared" si="91"/>
        <v>-4911248.5927368766</v>
      </c>
      <c r="V310" s="4">
        <f t="shared" si="92"/>
        <v>0</v>
      </c>
      <c r="W310" s="4">
        <f t="shared" si="93"/>
        <v>-4911248.5927368766</v>
      </c>
      <c r="X310" s="5">
        <f t="shared" si="94"/>
        <v>14702167.703705531</v>
      </c>
      <c r="Y310" s="5">
        <f t="shared" si="95"/>
        <v>0</v>
      </c>
      <c r="Z310" s="5">
        <f t="shared" si="95"/>
        <v>0</v>
      </c>
      <c r="AB310" s="5">
        <f t="shared" si="83"/>
        <v>100</v>
      </c>
      <c r="AC310" s="4">
        <f t="shared" si="96"/>
        <v>245167.70370553009</v>
      </c>
      <c r="AD310" s="4">
        <f t="shared" si="97"/>
        <v>183000</v>
      </c>
      <c r="AE310" s="5">
        <f t="shared" si="98"/>
        <v>62167.70370553009</v>
      </c>
      <c r="AF310" s="3" t="str">
        <f t="shared" si="99"/>
        <v>Y</v>
      </c>
      <c r="AH310" s="4">
        <f t="shared" si="100"/>
        <v>19368248.592736878</v>
      </c>
      <c r="AI310" s="4">
        <f t="shared" si="101"/>
        <v>14457000</v>
      </c>
    </row>
    <row r="311" spans="1:35">
      <c r="A311" s="3">
        <v>309</v>
      </c>
      <c r="B311" s="3" t="s">
        <v>974</v>
      </c>
      <c r="C311" s="3" t="s">
        <v>667</v>
      </c>
      <c r="D311" s="4">
        <v>700</v>
      </c>
      <c r="E311" s="4">
        <v>8043796.0182553679</v>
      </c>
      <c r="F311" s="4">
        <v>0</v>
      </c>
      <c r="G311" s="4">
        <v>0</v>
      </c>
      <c r="H311" s="4">
        <f t="shared" si="84"/>
        <v>8043796.0182553679</v>
      </c>
      <c r="I311" s="4">
        <f t="shared" si="85"/>
        <v>11491.13716893624</v>
      </c>
      <c r="J311" s="4">
        <v>566.4</v>
      </c>
      <c r="K311" s="5">
        <f t="shared" si="86"/>
        <v>566.4</v>
      </c>
      <c r="L311" s="4">
        <v>10900</v>
      </c>
      <c r="M311" s="4">
        <f t="shared" si="82"/>
        <v>7708975.9257698813</v>
      </c>
      <c r="N311" s="4">
        <f t="shared" si="87"/>
        <v>-334820.09248548653</v>
      </c>
      <c r="O311" s="4">
        <f t="shared" si="88"/>
        <v>0</v>
      </c>
      <c r="P311" s="4">
        <f t="shared" si="89"/>
        <v>-334820.09248548653</v>
      </c>
      <c r="T311" s="4">
        <f t="shared" si="102"/>
        <v>11491.13716893624</v>
      </c>
      <c r="U311" s="4">
        <f t="shared" si="91"/>
        <v>-334820.09248548653</v>
      </c>
      <c r="V311" s="4">
        <f t="shared" si="92"/>
        <v>0</v>
      </c>
      <c r="W311" s="4">
        <f t="shared" si="93"/>
        <v>-334820.09248548653</v>
      </c>
      <c r="X311" s="5">
        <f t="shared" si="94"/>
        <v>7708975.9257698813</v>
      </c>
      <c r="Y311" s="5">
        <f t="shared" si="95"/>
        <v>0</v>
      </c>
      <c r="Z311" s="5">
        <f t="shared" si="95"/>
        <v>0</v>
      </c>
      <c r="AB311" s="5">
        <f t="shared" si="83"/>
        <v>133.60000000000002</v>
      </c>
      <c r="AC311" s="4">
        <f t="shared" si="96"/>
        <v>1535215.925769882</v>
      </c>
      <c r="AD311" s="4">
        <f t="shared" si="97"/>
        <v>1456240.0000000002</v>
      </c>
      <c r="AE311" s="5">
        <f t="shared" si="98"/>
        <v>78975.925769881811</v>
      </c>
      <c r="AF311" s="3" t="str">
        <f t="shared" si="99"/>
        <v>Y</v>
      </c>
      <c r="AH311" s="4">
        <f t="shared" si="100"/>
        <v>6508580.0924854865</v>
      </c>
      <c r="AI311" s="4">
        <f t="shared" si="101"/>
        <v>6173760</v>
      </c>
    </row>
    <row r="312" spans="1:35">
      <c r="A312" s="3">
        <v>310</v>
      </c>
      <c r="B312" s="3" t="s">
        <v>975</v>
      </c>
      <c r="C312" s="3" t="s">
        <v>667</v>
      </c>
      <c r="D312" s="4">
        <v>25100</v>
      </c>
      <c r="E312" s="4">
        <v>124105504.55988801</v>
      </c>
      <c r="F312" s="4">
        <v>0</v>
      </c>
      <c r="G312" s="4">
        <v>2122875</v>
      </c>
      <c r="H312" s="4">
        <f t="shared" si="84"/>
        <v>124105504.55988801</v>
      </c>
      <c r="I312" s="4">
        <f t="shared" si="85"/>
        <v>4944.4424127445418</v>
      </c>
      <c r="J312" s="4">
        <v>24939</v>
      </c>
      <c r="K312" s="5">
        <f t="shared" si="86"/>
        <v>24939</v>
      </c>
      <c r="L312" s="4">
        <v>4250</v>
      </c>
      <c r="M312" s="4">
        <f t="shared" si="82"/>
        <v>106786805.22845188</v>
      </c>
      <c r="N312" s="4">
        <f t="shared" si="87"/>
        <v>-17318699.331436127</v>
      </c>
      <c r="O312" s="4">
        <f t="shared" si="88"/>
        <v>0</v>
      </c>
      <c r="P312" s="4">
        <f t="shared" si="89"/>
        <v>-17318699.331436127</v>
      </c>
      <c r="T312" s="4">
        <f t="shared" si="102"/>
        <v>4944.4424127445418</v>
      </c>
      <c r="U312" s="4">
        <f t="shared" si="91"/>
        <v>-17318699.331436127</v>
      </c>
      <c r="V312" s="4">
        <f t="shared" si="92"/>
        <v>0</v>
      </c>
      <c r="W312" s="4">
        <f t="shared" si="93"/>
        <v>-17318699.331436127</v>
      </c>
      <c r="X312" s="5">
        <f t="shared" si="94"/>
        <v>106786805.22845188</v>
      </c>
      <c r="Y312" s="5">
        <f t="shared" si="95"/>
        <v>0</v>
      </c>
      <c r="Z312" s="5">
        <f t="shared" si="95"/>
        <v>0</v>
      </c>
      <c r="AB312" s="5">
        <f t="shared" si="83"/>
        <v>161</v>
      </c>
      <c r="AC312" s="4">
        <f t="shared" si="96"/>
        <v>796055.2284518712</v>
      </c>
      <c r="AD312" s="4">
        <f t="shared" si="97"/>
        <v>684250</v>
      </c>
      <c r="AE312" s="5">
        <f t="shared" si="98"/>
        <v>111805.2284518712</v>
      </c>
      <c r="AF312" s="3" t="str">
        <f t="shared" si="99"/>
        <v>Y</v>
      </c>
      <c r="AH312" s="4">
        <f t="shared" si="100"/>
        <v>123309449.33143613</v>
      </c>
      <c r="AI312" s="4">
        <f t="shared" si="101"/>
        <v>105990750</v>
      </c>
    </row>
    <row r="313" spans="1:35">
      <c r="A313" s="3">
        <v>311</v>
      </c>
      <c r="B313" s="3" t="s">
        <v>976</v>
      </c>
      <c r="C313" s="3" t="s">
        <v>667</v>
      </c>
      <c r="D313" s="4">
        <v>300</v>
      </c>
      <c r="E313" s="4">
        <v>9868945.9406156708</v>
      </c>
      <c r="F313" s="4">
        <v>0</v>
      </c>
      <c r="G313" s="4">
        <v>0</v>
      </c>
      <c r="H313" s="4">
        <f t="shared" si="84"/>
        <v>9868945.9406156708</v>
      </c>
      <c r="I313" s="4">
        <f t="shared" si="85"/>
        <v>32896.486468718904</v>
      </c>
      <c r="J313" s="4">
        <v>279.7</v>
      </c>
      <c r="K313" s="5">
        <f t="shared" si="86"/>
        <v>279.7</v>
      </c>
      <c r="L313" s="4">
        <v>37800</v>
      </c>
      <c r="M313" s="4">
        <f t="shared" si="82"/>
        <v>11240458.675314993</v>
      </c>
      <c r="N313" s="4">
        <f t="shared" si="87"/>
        <v>1371512.7346993226</v>
      </c>
      <c r="O313" s="4">
        <f t="shared" si="88"/>
        <v>1371512.7346993226</v>
      </c>
      <c r="P313" s="4">
        <f t="shared" si="89"/>
        <v>0</v>
      </c>
      <c r="T313" s="4">
        <f t="shared" si="102"/>
        <v>32896.486468718904</v>
      </c>
      <c r="U313" s="4">
        <f t="shared" si="91"/>
        <v>1371512.7346993226</v>
      </c>
      <c r="V313" s="4">
        <f t="shared" si="92"/>
        <v>1371512.7346993226</v>
      </c>
      <c r="W313" s="4">
        <f t="shared" si="93"/>
        <v>0</v>
      </c>
      <c r="X313" s="5">
        <f t="shared" si="94"/>
        <v>11240458.675314993</v>
      </c>
      <c r="Y313" s="5">
        <f t="shared" si="95"/>
        <v>0</v>
      </c>
      <c r="Z313" s="5">
        <f t="shared" si="95"/>
        <v>0</v>
      </c>
      <c r="AB313" s="5">
        <f t="shared" si="83"/>
        <v>20.300000000000011</v>
      </c>
      <c r="AC313" s="4">
        <f t="shared" si="96"/>
        <v>667798.67531499406</v>
      </c>
      <c r="AD313" s="4">
        <f t="shared" si="97"/>
        <v>767340.00000000047</v>
      </c>
      <c r="AE313" s="5">
        <f t="shared" si="98"/>
        <v>-99541.324685006402</v>
      </c>
      <c r="AF313" s="3" t="str">
        <f t="shared" si="99"/>
        <v>N</v>
      </c>
      <c r="AH313" s="4">
        <f t="shared" si="100"/>
        <v>9201147.2653006762</v>
      </c>
      <c r="AI313" s="4">
        <f t="shared" si="101"/>
        <v>10572660</v>
      </c>
    </row>
    <row r="314" spans="1:35">
      <c r="A314" s="3">
        <v>312</v>
      </c>
      <c r="B314" s="3" t="s">
        <v>977</v>
      </c>
      <c r="C314" s="3" t="s">
        <v>667</v>
      </c>
      <c r="D314" s="4">
        <v>4800</v>
      </c>
      <c r="E314" s="4">
        <v>27240749.244890418</v>
      </c>
      <c r="F314" s="4">
        <v>0</v>
      </c>
      <c r="G314" s="4">
        <v>0</v>
      </c>
      <c r="H314" s="4">
        <f t="shared" si="84"/>
        <v>27240749.244890418</v>
      </c>
      <c r="I314" s="4">
        <f t="shared" si="85"/>
        <v>5675.1560926855036</v>
      </c>
      <c r="J314" s="4">
        <v>4769.8</v>
      </c>
      <c r="K314" s="5">
        <f t="shared" si="86"/>
        <v>4769.8</v>
      </c>
      <c r="L314" s="4">
        <v>5570</v>
      </c>
      <c r="M314" s="4">
        <f t="shared" si="82"/>
        <v>26739175.713999104</v>
      </c>
      <c r="N314" s="4">
        <f t="shared" si="87"/>
        <v>-501573.53089131514</v>
      </c>
      <c r="O314" s="4">
        <f t="shared" si="88"/>
        <v>0</v>
      </c>
      <c r="P314" s="4">
        <f t="shared" si="89"/>
        <v>-501573.53089131514</v>
      </c>
      <c r="T314" s="4">
        <f t="shared" si="102"/>
        <v>5675.1560926855036</v>
      </c>
      <c r="U314" s="4">
        <f t="shared" si="91"/>
        <v>-501573.53089131514</v>
      </c>
      <c r="V314" s="4">
        <f t="shared" si="92"/>
        <v>0</v>
      </c>
      <c r="W314" s="4">
        <f t="shared" si="93"/>
        <v>-501573.53089131514</v>
      </c>
      <c r="X314" s="5">
        <f t="shared" si="94"/>
        <v>26739175.713999104</v>
      </c>
      <c r="Y314" s="5">
        <f t="shared" si="95"/>
        <v>0</v>
      </c>
      <c r="Z314" s="5">
        <f t="shared" si="95"/>
        <v>0</v>
      </c>
      <c r="AB314" s="5">
        <f t="shared" si="83"/>
        <v>30.199999999999818</v>
      </c>
      <c r="AC314" s="4">
        <f t="shared" si="96"/>
        <v>171389.71399910116</v>
      </c>
      <c r="AD314" s="4">
        <f t="shared" si="97"/>
        <v>168213.99999999898</v>
      </c>
      <c r="AE314" s="5">
        <f t="shared" si="98"/>
        <v>3175.7139991021832</v>
      </c>
      <c r="AF314" s="3" t="str">
        <f t="shared" si="99"/>
        <v>Y</v>
      </c>
      <c r="AH314" s="4">
        <f t="shared" si="100"/>
        <v>27069359.530891318</v>
      </c>
      <c r="AI314" s="4">
        <f t="shared" si="101"/>
        <v>26567786</v>
      </c>
    </row>
    <row r="315" spans="1:35">
      <c r="A315" s="3">
        <v>313</v>
      </c>
      <c r="B315" s="3" t="s">
        <v>978</v>
      </c>
      <c r="C315" s="3" t="s">
        <v>667</v>
      </c>
      <c r="D315" s="4">
        <v>28233</v>
      </c>
      <c r="E315" s="4">
        <v>713165814.72625816</v>
      </c>
      <c r="F315" s="4">
        <v>0</v>
      </c>
      <c r="G315" s="4">
        <v>0</v>
      </c>
      <c r="H315" s="4">
        <f t="shared" si="84"/>
        <v>713165814.72625816</v>
      </c>
      <c r="I315" s="4">
        <f t="shared" si="85"/>
        <v>25260.008313897146</v>
      </c>
      <c r="J315" s="4">
        <v>28025.5</v>
      </c>
      <c r="K315" s="5">
        <f t="shared" si="86"/>
        <v>28025.5</v>
      </c>
      <c r="L315" s="4">
        <v>21100</v>
      </c>
      <c r="M315" s="4">
        <f t="shared" si="82"/>
        <v>596579501.72513366</v>
      </c>
      <c r="N315" s="4">
        <f t="shared" si="87"/>
        <v>-116586313.00112446</v>
      </c>
      <c r="O315" s="4">
        <f t="shared" si="88"/>
        <v>0</v>
      </c>
      <c r="P315" s="4">
        <f t="shared" si="89"/>
        <v>-116586313.00112446</v>
      </c>
      <c r="T315" s="4">
        <f t="shared" si="102"/>
        <v>25260.008313897146</v>
      </c>
      <c r="U315" s="4">
        <f t="shared" si="91"/>
        <v>-116586313.00112446</v>
      </c>
      <c r="V315" s="4">
        <f t="shared" si="92"/>
        <v>0</v>
      </c>
      <c r="W315" s="4">
        <f t="shared" si="93"/>
        <v>-116586313.00112446</v>
      </c>
      <c r="X315" s="5">
        <f t="shared" si="94"/>
        <v>596579501.72513366</v>
      </c>
      <c r="Y315" s="5">
        <f t="shared" si="95"/>
        <v>0</v>
      </c>
      <c r="Z315" s="5">
        <f t="shared" si="95"/>
        <v>0</v>
      </c>
      <c r="AB315" s="5">
        <f t="shared" si="83"/>
        <v>207.5</v>
      </c>
      <c r="AC315" s="4">
        <f t="shared" si="96"/>
        <v>5241451.7251336575</v>
      </c>
      <c r="AD315" s="4">
        <f t="shared" si="97"/>
        <v>4378250</v>
      </c>
      <c r="AE315" s="5">
        <f t="shared" si="98"/>
        <v>863201.72513365746</v>
      </c>
      <c r="AF315" s="3" t="str">
        <f t="shared" si="99"/>
        <v>Y</v>
      </c>
      <c r="AH315" s="4">
        <f t="shared" si="100"/>
        <v>707924363.0011245</v>
      </c>
      <c r="AI315" s="4">
        <f t="shared" si="101"/>
        <v>591338050</v>
      </c>
    </row>
    <row r="316" spans="1:35">
      <c r="A316" s="3">
        <v>314</v>
      </c>
      <c r="B316" s="3" t="s">
        <v>979</v>
      </c>
      <c r="C316" s="3" t="s">
        <v>667</v>
      </c>
      <c r="D316" s="4">
        <v>4200</v>
      </c>
      <c r="E316" s="4">
        <v>49194442.002765834</v>
      </c>
      <c r="F316" s="4">
        <v>0</v>
      </c>
      <c r="G316" s="4">
        <v>0</v>
      </c>
      <c r="H316" s="4">
        <f t="shared" si="84"/>
        <v>49194442.002765834</v>
      </c>
      <c r="I316" s="4">
        <f t="shared" si="85"/>
        <v>11712.962381610912</v>
      </c>
      <c r="J316" s="4">
        <v>4101.5</v>
      </c>
      <c r="K316" s="5">
        <f t="shared" si="86"/>
        <v>4101.5</v>
      </c>
      <c r="L316" s="4">
        <v>3800</v>
      </c>
      <c r="M316" s="4">
        <f t="shared" si="82"/>
        <v>16739426.794588678</v>
      </c>
      <c r="N316" s="4">
        <f t="shared" si="87"/>
        <v>-32455015.208177157</v>
      </c>
      <c r="O316" s="4">
        <f t="shared" si="88"/>
        <v>0</v>
      </c>
      <c r="P316" s="4">
        <f t="shared" si="89"/>
        <v>-32455015.208177157</v>
      </c>
      <c r="T316" s="4">
        <f t="shared" si="102"/>
        <v>11712.962381610912</v>
      </c>
      <c r="U316" s="4">
        <f t="shared" si="91"/>
        <v>-32455015.208177157</v>
      </c>
      <c r="V316" s="4">
        <f t="shared" si="92"/>
        <v>0</v>
      </c>
      <c r="W316" s="4">
        <f t="shared" si="93"/>
        <v>-32455015.208177157</v>
      </c>
      <c r="X316" s="5">
        <f t="shared" si="94"/>
        <v>16739426.794588678</v>
      </c>
      <c r="Y316" s="5">
        <f t="shared" si="95"/>
        <v>0</v>
      </c>
      <c r="Z316" s="5">
        <f t="shared" si="95"/>
        <v>0</v>
      </c>
      <c r="AB316" s="5">
        <f t="shared" si="83"/>
        <v>98.5</v>
      </c>
      <c r="AC316" s="4">
        <f t="shared" si="96"/>
        <v>1153726.7945886748</v>
      </c>
      <c r="AD316" s="4">
        <f t="shared" si="97"/>
        <v>374300</v>
      </c>
      <c r="AE316" s="5">
        <f t="shared" si="98"/>
        <v>779426.79458867479</v>
      </c>
      <c r="AF316" s="3" t="str">
        <f t="shared" si="99"/>
        <v>Y</v>
      </c>
      <c r="AH316" s="4">
        <f t="shared" si="100"/>
        <v>48040715.208177157</v>
      </c>
      <c r="AI316" s="4">
        <f t="shared" si="101"/>
        <v>15585700</v>
      </c>
    </row>
    <row r="317" spans="1:35">
      <c r="A317" s="3">
        <v>315</v>
      </c>
      <c r="B317" s="3" t="s">
        <v>980</v>
      </c>
      <c r="C317" s="3" t="s">
        <v>667</v>
      </c>
      <c r="D317" s="4">
        <v>2400</v>
      </c>
      <c r="E317" s="4">
        <v>32849384.113892298</v>
      </c>
      <c r="F317" s="4">
        <v>0</v>
      </c>
      <c r="G317" s="4">
        <v>0</v>
      </c>
      <c r="H317" s="4">
        <f t="shared" si="84"/>
        <v>32849384.113892298</v>
      </c>
      <c r="I317" s="4">
        <f t="shared" si="85"/>
        <v>13687.243380788457</v>
      </c>
      <c r="J317" s="4">
        <v>2399</v>
      </c>
      <c r="K317" s="5">
        <f t="shared" si="86"/>
        <v>2399</v>
      </c>
      <c r="L317" s="4">
        <v>13800</v>
      </c>
      <c r="M317" s="4">
        <f t="shared" si="82"/>
        <v>33119887.243380789</v>
      </c>
      <c r="N317" s="4">
        <f t="shared" si="87"/>
        <v>270503.12948849116</v>
      </c>
      <c r="O317" s="4">
        <f t="shared" si="88"/>
        <v>270503.12948849116</v>
      </c>
      <c r="P317" s="4">
        <f t="shared" si="89"/>
        <v>0</v>
      </c>
      <c r="T317" s="4">
        <f t="shared" si="102"/>
        <v>13687.243380788457</v>
      </c>
      <c r="U317" s="4">
        <f t="shared" si="91"/>
        <v>270503.12948849116</v>
      </c>
      <c r="V317" s="4">
        <f t="shared" si="92"/>
        <v>270503.12948849116</v>
      </c>
      <c r="W317" s="4">
        <f t="shared" si="93"/>
        <v>0</v>
      </c>
      <c r="X317" s="5">
        <f t="shared" si="94"/>
        <v>33119887.243380789</v>
      </c>
      <c r="Y317" s="5">
        <f t="shared" si="95"/>
        <v>0</v>
      </c>
      <c r="Z317" s="5">
        <f t="shared" si="95"/>
        <v>0</v>
      </c>
      <c r="AB317" s="5">
        <f t="shared" si="83"/>
        <v>1</v>
      </c>
      <c r="AC317" s="4">
        <f t="shared" si="96"/>
        <v>13687.243380788457</v>
      </c>
      <c r="AD317" s="4">
        <f t="shared" si="97"/>
        <v>13800</v>
      </c>
      <c r="AE317" s="5">
        <f t="shared" si="98"/>
        <v>-112.75661921154278</v>
      </c>
      <c r="AF317" s="3" t="str">
        <f t="shared" si="99"/>
        <v>N</v>
      </c>
      <c r="AH317" s="4">
        <f t="shared" si="100"/>
        <v>32835696.870511509</v>
      </c>
      <c r="AI317" s="4">
        <f t="shared" si="101"/>
        <v>33106200</v>
      </c>
    </row>
    <row r="318" spans="1:35">
      <c r="A318" s="3">
        <v>316</v>
      </c>
      <c r="B318" s="3" t="s">
        <v>981</v>
      </c>
      <c r="C318" s="3" t="s">
        <v>667</v>
      </c>
      <c r="D318" s="4">
        <v>1000</v>
      </c>
      <c r="E318" s="4">
        <v>10707857.467858545</v>
      </c>
      <c r="F318" s="4">
        <v>0</v>
      </c>
      <c r="G318" s="4">
        <v>0</v>
      </c>
      <c r="H318" s="4">
        <f t="shared" si="84"/>
        <v>10707857.467858545</v>
      </c>
      <c r="I318" s="4">
        <f t="shared" si="85"/>
        <v>10707.857467858545</v>
      </c>
      <c r="J318" s="4">
        <v>1068.5999999999999</v>
      </c>
      <c r="K318" s="5">
        <f t="shared" si="86"/>
        <v>1000</v>
      </c>
      <c r="L318" s="4">
        <v>8650</v>
      </c>
      <c r="M318" s="4">
        <f t="shared" si="82"/>
        <v>8650000</v>
      </c>
      <c r="N318" s="4">
        <f t="shared" si="87"/>
        <v>-2057857.4678585446</v>
      </c>
      <c r="O318" s="4">
        <f t="shared" si="88"/>
        <v>0</v>
      </c>
      <c r="P318" s="4">
        <f t="shared" si="89"/>
        <v>-2057857.4678585446</v>
      </c>
      <c r="T318" s="4">
        <f t="shared" si="102"/>
        <v>10707.857467858545</v>
      </c>
      <c r="U318" s="4">
        <f t="shared" si="91"/>
        <v>-2057857.4678585446</v>
      </c>
      <c r="V318" s="4">
        <f t="shared" si="92"/>
        <v>0</v>
      </c>
      <c r="W318" s="4">
        <f t="shared" si="93"/>
        <v>-2057857.4678585446</v>
      </c>
      <c r="X318" s="5">
        <f t="shared" si="94"/>
        <v>8650000</v>
      </c>
      <c r="Y318" s="5">
        <f t="shared" si="95"/>
        <v>0</v>
      </c>
      <c r="Z318" s="5">
        <f t="shared" si="95"/>
        <v>0</v>
      </c>
      <c r="AB318" s="5">
        <f t="shared" si="83"/>
        <v>-68.599999999999909</v>
      </c>
      <c r="AC318" s="4">
        <f t="shared" si="96"/>
        <v>-734559.02229509514</v>
      </c>
      <c r="AD318" s="4">
        <f t="shared" si="97"/>
        <v>-593389.99999999919</v>
      </c>
      <c r="AE318" s="5">
        <f t="shared" si="98"/>
        <v>0</v>
      </c>
      <c r="AF318" s="3" t="str">
        <f t="shared" si="99"/>
        <v>N</v>
      </c>
      <c r="AH318" s="4">
        <f t="shared" si="100"/>
        <v>10707857.467858545</v>
      </c>
      <c r="AI318" s="4">
        <f t="shared" si="101"/>
        <v>8650000</v>
      </c>
    </row>
    <row r="319" spans="1:35">
      <c r="A319" s="3">
        <v>317</v>
      </c>
      <c r="B319" s="3" t="s">
        <v>632</v>
      </c>
      <c r="C319" s="3" t="s">
        <v>667</v>
      </c>
      <c r="D319" s="4">
        <v>5477</v>
      </c>
      <c r="E319" s="4">
        <v>392502816.46128768</v>
      </c>
      <c r="F319" s="4">
        <v>0</v>
      </c>
      <c r="G319" s="4">
        <v>0</v>
      </c>
      <c r="H319" s="4">
        <f t="shared" si="84"/>
        <v>392502816.46128768</v>
      </c>
      <c r="I319" s="4">
        <f t="shared" si="85"/>
        <v>71663.833569707451</v>
      </c>
      <c r="J319" s="4">
        <v>5495</v>
      </c>
      <c r="K319" s="5">
        <f t="shared" si="86"/>
        <v>5477</v>
      </c>
      <c r="L319" s="4">
        <v>80300</v>
      </c>
      <c r="M319" s="4">
        <f t="shared" si="82"/>
        <v>439803100</v>
      </c>
      <c r="N319" s="4">
        <f t="shared" si="87"/>
        <v>47300283.538712293</v>
      </c>
      <c r="O319" s="4">
        <f t="shared" si="88"/>
        <v>47300283.538712293</v>
      </c>
      <c r="P319" s="4">
        <f t="shared" si="89"/>
        <v>0</v>
      </c>
      <c r="T319" s="4">
        <f t="shared" si="102"/>
        <v>71663.833569707451</v>
      </c>
      <c r="U319" s="4">
        <f t="shared" si="91"/>
        <v>47300283.538712293</v>
      </c>
      <c r="V319" s="4">
        <f t="shared" si="92"/>
        <v>47300283.538712293</v>
      </c>
      <c r="W319" s="4">
        <f t="shared" si="93"/>
        <v>0</v>
      </c>
      <c r="X319" s="5">
        <f t="shared" si="94"/>
        <v>439803100</v>
      </c>
      <c r="Y319" s="5">
        <f t="shared" si="95"/>
        <v>0</v>
      </c>
      <c r="Z319" s="5">
        <f t="shared" si="95"/>
        <v>0</v>
      </c>
      <c r="AB319" s="5">
        <f t="shared" si="83"/>
        <v>-18</v>
      </c>
      <c r="AC319" s="4">
        <f t="shared" si="96"/>
        <v>-1289949.0042547341</v>
      </c>
      <c r="AD319" s="4">
        <f t="shared" si="97"/>
        <v>-1445400</v>
      </c>
      <c r="AE319" s="5">
        <f t="shared" si="98"/>
        <v>0</v>
      </c>
      <c r="AF319" s="3" t="str">
        <f t="shared" si="99"/>
        <v>N</v>
      </c>
      <c r="AH319" s="4">
        <f t="shared" si="100"/>
        <v>392502816.46128774</v>
      </c>
      <c r="AI319" s="4">
        <f t="shared" si="101"/>
        <v>439803100</v>
      </c>
    </row>
    <row r="320" spans="1:35">
      <c r="A320" s="3">
        <v>318</v>
      </c>
      <c r="B320" s="3" t="s">
        <v>982</v>
      </c>
      <c r="C320" s="3" t="s">
        <v>667</v>
      </c>
      <c r="D320" s="4">
        <v>6504</v>
      </c>
      <c r="E320" s="4">
        <v>90166519.327421978</v>
      </c>
      <c r="F320" s="4">
        <v>0</v>
      </c>
      <c r="G320" s="4">
        <v>0</v>
      </c>
      <c r="H320" s="4">
        <f t="shared" si="84"/>
        <v>90166519.327421978</v>
      </c>
      <c r="I320" s="4">
        <f t="shared" si="85"/>
        <v>13863.240979000919</v>
      </c>
      <c r="J320" s="4">
        <v>6414.6</v>
      </c>
      <c r="K320" s="5">
        <f t="shared" si="86"/>
        <v>6414.6</v>
      </c>
      <c r="L320" s="4">
        <v>24700</v>
      </c>
      <c r="M320" s="4">
        <f t="shared" si="82"/>
        <v>159679993.7435227</v>
      </c>
      <c r="N320" s="4">
        <f t="shared" si="87"/>
        <v>69513474.416100711</v>
      </c>
      <c r="O320" s="4">
        <f t="shared" si="88"/>
        <v>69513474.416100711</v>
      </c>
      <c r="P320" s="4">
        <f t="shared" si="89"/>
        <v>0</v>
      </c>
      <c r="T320" s="4">
        <f t="shared" si="102"/>
        <v>13863.240979000919</v>
      </c>
      <c r="U320" s="4">
        <f t="shared" si="91"/>
        <v>69513474.416100711</v>
      </c>
      <c r="V320" s="4">
        <f t="shared" si="92"/>
        <v>69513474.416100711</v>
      </c>
      <c r="W320" s="4">
        <f t="shared" si="93"/>
        <v>0</v>
      </c>
      <c r="X320" s="5">
        <f t="shared" si="94"/>
        <v>159679993.7435227</v>
      </c>
      <c r="Y320" s="5">
        <f t="shared" si="95"/>
        <v>0</v>
      </c>
      <c r="Z320" s="5">
        <f t="shared" si="95"/>
        <v>0</v>
      </c>
      <c r="AB320" s="5">
        <f t="shared" si="83"/>
        <v>89.399999999999636</v>
      </c>
      <c r="AC320" s="4">
        <f t="shared" si="96"/>
        <v>1239373.7435226771</v>
      </c>
      <c r="AD320" s="4">
        <f t="shared" si="97"/>
        <v>2208179.9999999912</v>
      </c>
      <c r="AE320" s="5">
        <f t="shared" si="98"/>
        <v>-968806.25647731405</v>
      </c>
      <c r="AF320" s="3" t="str">
        <f t="shared" si="99"/>
        <v>N</v>
      </c>
      <c r="AH320" s="4">
        <f t="shared" si="100"/>
        <v>88927145.583899304</v>
      </c>
      <c r="AI320" s="4">
        <f t="shared" si="101"/>
        <v>158440620</v>
      </c>
    </row>
    <row r="321" spans="1:35">
      <c r="A321" s="3">
        <v>319</v>
      </c>
      <c r="B321" s="3" t="s">
        <v>983</v>
      </c>
      <c r="C321" s="3" t="s">
        <v>667</v>
      </c>
      <c r="D321" s="4">
        <v>3000</v>
      </c>
      <c r="E321" s="4">
        <v>94123021.777285665</v>
      </c>
      <c r="F321" s="4">
        <v>0</v>
      </c>
      <c r="G321" s="4">
        <v>0</v>
      </c>
      <c r="H321" s="4">
        <f t="shared" si="84"/>
        <v>94123021.777285665</v>
      </c>
      <c r="I321" s="4">
        <f t="shared" si="85"/>
        <v>31374.340592428554</v>
      </c>
      <c r="J321" s="4">
        <v>2971.6</v>
      </c>
      <c r="K321" s="5">
        <f t="shared" si="86"/>
        <v>2971.6</v>
      </c>
      <c r="L321" s="4">
        <v>42750</v>
      </c>
      <c r="M321" s="4">
        <f t="shared" si="82"/>
        <v>127926931.27282497</v>
      </c>
      <c r="N321" s="4">
        <f t="shared" si="87"/>
        <v>33803909.495539308</v>
      </c>
      <c r="O321" s="4">
        <f t="shared" si="88"/>
        <v>33803909.495539308</v>
      </c>
      <c r="P321" s="4">
        <f t="shared" si="89"/>
        <v>0</v>
      </c>
      <c r="T321" s="4">
        <f t="shared" si="102"/>
        <v>31374.340592428554</v>
      </c>
      <c r="U321" s="4">
        <f t="shared" si="91"/>
        <v>33803909.495539308</v>
      </c>
      <c r="V321" s="4">
        <f t="shared" si="92"/>
        <v>33803909.495539308</v>
      </c>
      <c r="W321" s="4">
        <f t="shared" si="93"/>
        <v>0</v>
      </c>
      <c r="X321" s="5">
        <f t="shared" si="94"/>
        <v>127926931.27282497</v>
      </c>
      <c r="Y321" s="5">
        <f t="shared" si="95"/>
        <v>0</v>
      </c>
      <c r="Z321" s="5">
        <f t="shared" si="95"/>
        <v>0</v>
      </c>
      <c r="AB321" s="5">
        <f t="shared" si="83"/>
        <v>28.400000000000091</v>
      </c>
      <c r="AC321" s="4">
        <f t="shared" si="96"/>
        <v>891031.2728249738</v>
      </c>
      <c r="AD321" s="4">
        <f t="shared" si="97"/>
        <v>1214100.000000004</v>
      </c>
      <c r="AE321" s="5">
        <f t="shared" si="98"/>
        <v>-323068.72717503016</v>
      </c>
      <c r="AF321" s="3" t="str">
        <f t="shared" si="99"/>
        <v>N</v>
      </c>
      <c r="AH321" s="4">
        <f t="shared" si="100"/>
        <v>93231990.504460692</v>
      </c>
      <c r="AI321" s="4">
        <f t="shared" si="101"/>
        <v>127035900</v>
      </c>
    </row>
    <row r="322" spans="1:35">
      <c r="A322" s="3">
        <v>320</v>
      </c>
      <c r="B322" s="3" t="s">
        <v>984</v>
      </c>
      <c r="C322" s="3" t="s">
        <v>667</v>
      </c>
      <c r="D322" s="4">
        <v>625</v>
      </c>
      <c r="E322" s="4">
        <v>6314610.5827650698</v>
      </c>
      <c r="F322" s="4">
        <v>0</v>
      </c>
      <c r="G322" s="4">
        <v>0</v>
      </c>
      <c r="H322" s="4">
        <f t="shared" si="84"/>
        <v>6314610.5827650698</v>
      </c>
      <c r="I322" s="4">
        <f t="shared" si="85"/>
        <v>10103.376932424111</v>
      </c>
      <c r="J322" s="4">
        <v>537.6</v>
      </c>
      <c r="K322" s="5">
        <f t="shared" si="86"/>
        <v>537.6</v>
      </c>
      <c r="L322" s="4">
        <v>17100</v>
      </c>
      <c r="M322" s="4">
        <f t="shared" si="82"/>
        <v>10075995.143893868</v>
      </c>
      <c r="N322" s="4">
        <f t="shared" si="87"/>
        <v>3761384.5611287979</v>
      </c>
      <c r="O322" s="4">
        <f t="shared" si="88"/>
        <v>3761384.5611287979</v>
      </c>
      <c r="P322" s="4">
        <f t="shared" si="89"/>
        <v>0</v>
      </c>
      <c r="T322" s="4">
        <f t="shared" si="102"/>
        <v>10103.376932424111</v>
      </c>
      <c r="U322" s="4">
        <f t="shared" si="91"/>
        <v>3761384.5611287979</v>
      </c>
      <c r="V322" s="4">
        <f t="shared" si="92"/>
        <v>3761384.5611287979</v>
      </c>
      <c r="W322" s="4">
        <f t="shared" si="93"/>
        <v>0</v>
      </c>
      <c r="X322" s="5">
        <f t="shared" si="94"/>
        <v>10075995.143893868</v>
      </c>
      <c r="Y322" s="5">
        <f t="shared" si="95"/>
        <v>0</v>
      </c>
      <c r="Z322" s="5">
        <f t="shared" si="95"/>
        <v>0</v>
      </c>
      <c r="AB322" s="5">
        <f t="shared" si="83"/>
        <v>87.399999999999977</v>
      </c>
      <c r="AC322" s="4">
        <f t="shared" si="96"/>
        <v>883035.14389386703</v>
      </c>
      <c r="AD322" s="4">
        <f t="shared" si="97"/>
        <v>1494539.9999999995</v>
      </c>
      <c r="AE322" s="5">
        <f t="shared" si="98"/>
        <v>-611504.8561061325</v>
      </c>
      <c r="AF322" s="3" t="str">
        <f t="shared" si="99"/>
        <v>N</v>
      </c>
      <c r="AH322" s="4">
        <f t="shared" si="100"/>
        <v>5431575.4388712021</v>
      </c>
      <c r="AI322" s="4">
        <f t="shared" si="101"/>
        <v>9192960</v>
      </c>
    </row>
    <row r="323" spans="1:35">
      <c r="A323" s="3">
        <v>321</v>
      </c>
      <c r="B323" s="3" t="s">
        <v>985</v>
      </c>
      <c r="C323" s="3" t="s">
        <v>667</v>
      </c>
      <c r="D323" s="4">
        <v>500</v>
      </c>
      <c r="E323" s="4">
        <v>17808181.631638955</v>
      </c>
      <c r="F323" s="4">
        <v>0</v>
      </c>
      <c r="G323" s="4">
        <v>0</v>
      </c>
      <c r="H323" s="4">
        <f t="shared" si="84"/>
        <v>17808181.631638955</v>
      </c>
      <c r="I323" s="4">
        <f t="shared" si="85"/>
        <v>35616.363263277912</v>
      </c>
      <c r="J323" s="4">
        <v>435.2</v>
      </c>
      <c r="K323" s="5">
        <f t="shared" si="86"/>
        <v>435.2</v>
      </c>
      <c r="L323" s="4">
        <v>54900</v>
      </c>
      <c r="M323" s="4">
        <f t="shared" ref="M323:M355" si="103">(L323-I323)*K323+E323</f>
        <v>26200420.33946041</v>
      </c>
      <c r="N323" s="4">
        <f t="shared" si="87"/>
        <v>8392238.707821453</v>
      </c>
      <c r="O323" s="4">
        <f t="shared" si="88"/>
        <v>8392238.707821453</v>
      </c>
      <c r="P323" s="4">
        <f t="shared" si="89"/>
        <v>0</v>
      </c>
      <c r="T323" s="4">
        <f t="shared" si="102"/>
        <v>35616.363263277912</v>
      </c>
      <c r="U323" s="4">
        <f t="shared" si="91"/>
        <v>8392238.707821453</v>
      </c>
      <c r="V323" s="4">
        <f t="shared" si="92"/>
        <v>8392238.707821453</v>
      </c>
      <c r="W323" s="4">
        <f t="shared" si="93"/>
        <v>0</v>
      </c>
      <c r="X323" s="5">
        <f t="shared" si="94"/>
        <v>26200420.33946041</v>
      </c>
      <c r="Y323" s="5">
        <f t="shared" si="95"/>
        <v>0</v>
      </c>
      <c r="Z323" s="5">
        <f t="shared" si="95"/>
        <v>0</v>
      </c>
      <c r="AB323" s="5">
        <f t="shared" ref="AB323:AB386" si="104">D323-J323</f>
        <v>64.800000000000011</v>
      </c>
      <c r="AC323" s="4">
        <f t="shared" si="96"/>
        <v>2307940.3394604092</v>
      </c>
      <c r="AD323" s="4">
        <f t="shared" si="97"/>
        <v>3557520.0000000005</v>
      </c>
      <c r="AE323" s="5">
        <f t="shared" si="98"/>
        <v>-1249579.6605395912</v>
      </c>
      <c r="AF323" s="3" t="str">
        <f t="shared" si="99"/>
        <v>N</v>
      </c>
      <c r="AH323" s="4">
        <f t="shared" si="100"/>
        <v>15500241.292178547</v>
      </c>
      <c r="AI323" s="4">
        <f t="shared" si="101"/>
        <v>23892480</v>
      </c>
    </row>
    <row r="324" spans="1:35">
      <c r="A324" s="3">
        <v>322</v>
      </c>
      <c r="B324" s="3" t="s">
        <v>986</v>
      </c>
      <c r="C324" s="3" t="s">
        <v>667</v>
      </c>
      <c r="D324" s="4">
        <v>4700</v>
      </c>
      <c r="E324" s="4">
        <v>283314227.09619606</v>
      </c>
      <c r="F324" s="4">
        <v>0</v>
      </c>
      <c r="G324" s="4">
        <v>0</v>
      </c>
      <c r="H324" s="4">
        <f t="shared" ref="H324:H355" si="105">E324+F324</f>
        <v>283314227.09619606</v>
      </c>
      <c r="I324" s="4">
        <f t="shared" ref="I324:I355" si="106">E324/D324</f>
        <v>60279.62278642469</v>
      </c>
      <c r="J324" s="4">
        <v>4652</v>
      </c>
      <c r="K324" s="5">
        <f t="shared" ref="K324:K367" si="107">MIN(D324,J324)</f>
        <v>4652</v>
      </c>
      <c r="L324" s="4">
        <v>74400</v>
      </c>
      <c r="M324" s="4">
        <f t="shared" si="103"/>
        <v>349002221.8937484</v>
      </c>
      <c r="N324" s="4">
        <f t="shared" ref="N324:N356" si="108">(L324-I324)*K324</f>
        <v>65687994.79755234</v>
      </c>
      <c r="O324" s="4">
        <f t="shared" ref="O324:O356" si="109">IF(N324&gt;0,N324,0)</f>
        <v>65687994.79755234</v>
      </c>
      <c r="P324" s="4">
        <f t="shared" ref="P324:P356" si="110">IF(N324&lt;0,N324,0)</f>
        <v>0</v>
      </c>
      <c r="T324" s="4">
        <f t="shared" si="102"/>
        <v>60279.62278642469</v>
      </c>
      <c r="U324" s="4">
        <f t="shared" ref="U324:U387" si="111">(L324-T324)*K324</f>
        <v>65687994.79755234</v>
      </c>
      <c r="V324" s="4">
        <f t="shared" ref="V324:V387" si="112">IF(U324&gt;0,U324,0)</f>
        <v>65687994.79755234</v>
      </c>
      <c r="W324" s="4">
        <f t="shared" ref="W324:W387" si="113">IF(U324&lt;0,U324,0)</f>
        <v>0</v>
      </c>
      <c r="X324" s="5">
        <f t="shared" ref="X324:X355" si="114">H324+U324</f>
        <v>349002221.8937484</v>
      </c>
      <c r="Y324" s="5">
        <f t="shared" ref="Y324:Z356" si="115">O324-V324</f>
        <v>0</v>
      </c>
      <c r="Z324" s="5">
        <f t="shared" si="115"/>
        <v>0</v>
      </c>
      <c r="AB324" s="5">
        <f t="shared" si="104"/>
        <v>48</v>
      </c>
      <c r="AC324" s="4">
        <f t="shared" ref="AC324:AC387" si="116">T324*AB324</f>
        <v>2893421.8937483849</v>
      </c>
      <c r="AD324" s="4">
        <f t="shared" ref="AD324:AD387" si="117">L324*AB324</f>
        <v>3571200</v>
      </c>
      <c r="AE324" s="5">
        <f t="shared" ref="AE324:AE387" si="118">IF(AB324&gt;0,AC324-AD324,0)</f>
        <v>-677778.1062516151</v>
      </c>
      <c r="AF324" s="3" t="str">
        <f t="shared" ref="AF324:AF387" si="119">IF(AE324&gt;0,"Y","N")</f>
        <v>N</v>
      </c>
      <c r="AH324" s="4">
        <f t="shared" ref="AH324:AH355" si="120">K324*T324</f>
        <v>280420805.20244765</v>
      </c>
      <c r="AI324" s="4">
        <f t="shared" ref="AI324:AI355" si="121">K324*L324</f>
        <v>346108800</v>
      </c>
    </row>
    <row r="325" spans="1:35">
      <c r="A325" s="3">
        <v>323</v>
      </c>
      <c r="B325" s="3" t="s">
        <v>987</v>
      </c>
      <c r="C325" s="3" t="s">
        <v>667</v>
      </c>
      <c r="D325" s="4">
        <v>27200</v>
      </c>
      <c r="E325" s="4">
        <v>1360746052.4293208</v>
      </c>
      <c r="F325" s="4">
        <v>0</v>
      </c>
      <c r="G325" s="4">
        <v>0</v>
      </c>
      <c r="H325" s="4">
        <f t="shared" si="105"/>
        <v>1360746052.4293208</v>
      </c>
      <c r="I325" s="4">
        <f t="shared" si="106"/>
        <v>50027.428398136792</v>
      </c>
      <c r="J325" s="4">
        <v>27673.599999999999</v>
      </c>
      <c r="K325" s="5">
        <f t="shared" si="107"/>
        <v>27200</v>
      </c>
      <c r="L325" s="4">
        <v>43200</v>
      </c>
      <c r="M325" s="4">
        <f t="shared" si="103"/>
        <v>1175040000</v>
      </c>
      <c r="N325" s="4">
        <f t="shared" si="108"/>
        <v>-185706052.42932072</v>
      </c>
      <c r="O325" s="4">
        <f t="shared" si="109"/>
        <v>0</v>
      </c>
      <c r="P325" s="4">
        <f t="shared" si="110"/>
        <v>-185706052.42932072</v>
      </c>
      <c r="T325" s="4">
        <f t="shared" si="102"/>
        <v>50027.428398136792</v>
      </c>
      <c r="U325" s="4">
        <f t="shared" si="111"/>
        <v>-185706052.42932072</v>
      </c>
      <c r="V325" s="4">
        <f t="shared" si="112"/>
        <v>0</v>
      </c>
      <c r="W325" s="4">
        <f t="shared" si="113"/>
        <v>-185706052.42932072</v>
      </c>
      <c r="X325" s="5">
        <f t="shared" si="114"/>
        <v>1175040000</v>
      </c>
      <c r="Y325" s="5">
        <f t="shared" si="115"/>
        <v>0</v>
      </c>
      <c r="Z325" s="5">
        <f t="shared" si="115"/>
        <v>0</v>
      </c>
      <c r="AB325" s="5">
        <f t="shared" si="104"/>
        <v>-473.59999999999854</v>
      </c>
      <c r="AC325" s="4">
        <f t="shared" si="116"/>
        <v>-23692990.08935751</v>
      </c>
      <c r="AD325" s="4">
        <f t="shared" si="117"/>
        <v>-20459519.999999937</v>
      </c>
      <c r="AE325" s="5">
        <f t="shared" si="118"/>
        <v>0</v>
      </c>
      <c r="AF325" s="3" t="str">
        <f t="shared" si="119"/>
        <v>N</v>
      </c>
      <c r="AH325" s="4">
        <f t="shared" si="120"/>
        <v>1360746052.4293208</v>
      </c>
      <c r="AI325" s="4">
        <f t="shared" si="121"/>
        <v>1175040000</v>
      </c>
    </row>
    <row r="326" spans="1:35">
      <c r="A326" s="3">
        <v>324</v>
      </c>
      <c r="B326" s="3" t="s">
        <v>988</v>
      </c>
      <c r="C326" s="3" t="s">
        <v>667</v>
      </c>
      <c r="D326" s="4">
        <v>17232</v>
      </c>
      <c r="E326" s="4">
        <v>243555639.552809</v>
      </c>
      <c r="F326" s="4">
        <v>0</v>
      </c>
      <c r="G326" s="4">
        <v>0</v>
      </c>
      <c r="H326" s="4">
        <f t="shared" si="105"/>
        <v>243555639.552809</v>
      </c>
      <c r="I326" s="4">
        <f t="shared" si="106"/>
        <v>14133.915944336641</v>
      </c>
      <c r="J326" s="4">
        <v>17130.400000000001</v>
      </c>
      <c r="K326" s="5">
        <f t="shared" si="107"/>
        <v>17130.400000000001</v>
      </c>
      <c r="L326" s="4">
        <v>19600</v>
      </c>
      <c r="M326" s="4">
        <f t="shared" si="103"/>
        <v>337191845.85994458</v>
      </c>
      <c r="N326" s="4">
        <f t="shared" si="108"/>
        <v>93636206.307135612</v>
      </c>
      <c r="O326" s="4">
        <f t="shared" si="109"/>
        <v>93636206.307135612</v>
      </c>
      <c r="P326" s="4">
        <f t="shared" si="110"/>
        <v>0</v>
      </c>
      <c r="T326" s="4">
        <f t="shared" si="102"/>
        <v>14133.915944336641</v>
      </c>
      <c r="U326" s="4">
        <f t="shared" si="111"/>
        <v>93636206.307135612</v>
      </c>
      <c r="V326" s="4">
        <f t="shared" si="112"/>
        <v>93636206.307135612</v>
      </c>
      <c r="W326" s="4">
        <f t="shared" si="113"/>
        <v>0</v>
      </c>
      <c r="X326" s="5">
        <f t="shared" si="114"/>
        <v>337191845.85994458</v>
      </c>
      <c r="Y326" s="5">
        <f t="shared" si="115"/>
        <v>0</v>
      </c>
      <c r="Z326" s="5">
        <f t="shared" si="115"/>
        <v>0</v>
      </c>
      <c r="AB326" s="5">
        <f t="shared" si="104"/>
        <v>101.59999999999854</v>
      </c>
      <c r="AC326" s="4">
        <f t="shared" si="116"/>
        <v>1436005.8599445822</v>
      </c>
      <c r="AD326" s="4">
        <f t="shared" si="117"/>
        <v>1991359.9999999716</v>
      </c>
      <c r="AE326" s="5">
        <f t="shared" si="118"/>
        <v>-555354.14005538938</v>
      </c>
      <c r="AF326" s="3" t="str">
        <f t="shared" si="119"/>
        <v>N</v>
      </c>
      <c r="AH326" s="4">
        <f t="shared" si="120"/>
        <v>242119633.69286442</v>
      </c>
      <c r="AI326" s="4">
        <f t="shared" si="121"/>
        <v>335755840</v>
      </c>
    </row>
    <row r="327" spans="1:35">
      <c r="A327" s="3">
        <v>325</v>
      </c>
      <c r="B327" s="3" t="s">
        <v>989</v>
      </c>
      <c r="C327" s="3" t="s">
        <v>667</v>
      </c>
      <c r="D327" s="4">
        <v>100300</v>
      </c>
      <c r="E327" s="4">
        <v>5751035540.5493135</v>
      </c>
      <c r="F327" s="4">
        <v>0</v>
      </c>
      <c r="G327" s="4">
        <v>0</v>
      </c>
      <c r="H327" s="4">
        <f t="shared" si="105"/>
        <v>5751035540.5493135</v>
      </c>
      <c r="I327" s="4">
        <f t="shared" si="106"/>
        <v>57338.340384340117</v>
      </c>
      <c r="J327" s="4">
        <v>100731.6</v>
      </c>
      <c r="K327" s="5">
        <f t="shared" si="107"/>
        <v>100300</v>
      </c>
      <c r="L327" s="4">
        <v>44600</v>
      </c>
      <c r="M327" s="4">
        <f t="shared" si="103"/>
        <v>4473380000</v>
      </c>
      <c r="N327" s="4">
        <f t="shared" si="108"/>
        <v>-1277655540.5493138</v>
      </c>
      <c r="O327" s="4">
        <f t="shared" si="109"/>
        <v>0</v>
      </c>
      <c r="P327" s="4">
        <f t="shared" si="110"/>
        <v>-1277655540.5493138</v>
      </c>
      <c r="T327" s="4">
        <f t="shared" si="102"/>
        <v>57338.340384340117</v>
      </c>
      <c r="U327" s="4">
        <f t="shared" si="111"/>
        <v>-1277655540.5493138</v>
      </c>
      <c r="V327" s="4">
        <f t="shared" si="112"/>
        <v>0</v>
      </c>
      <c r="W327" s="4">
        <f t="shared" si="113"/>
        <v>-1277655540.5493138</v>
      </c>
      <c r="X327" s="5">
        <f t="shared" si="114"/>
        <v>4473380000</v>
      </c>
      <c r="Y327" s="5">
        <f t="shared" si="115"/>
        <v>0</v>
      </c>
      <c r="Z327" s="5">
        <f t="shared" si="115"/>
        <v>0</v>
      </c>
      <c r="AB327" s="5">
        <f t="shared" si="104"/>
        <v>-431.60000000000582</v>
      </c>
      <c r="AC327" s="4">
        <f t="shared" si="116"/>
        <v>-24747227.709881529</v>
      </c>
      <c r="AD327" s="4">
        <f t="shared" si="117"/>
        <v>-19249360.000000261</v>
      </c>
      <c r="AE327" s="5">
        <f t="shared" si="118"/>
        <v>0</v>
      </c>
      <c r="AF327" s="3" t="str">
        <f t="shared" si="119"/>
        <v>N</v>
      </c>
      <c r="AH327" s="4">
        <f t="shared" si="120"/>
        <v>5751035540.5493135</v>
      </c>
      <c r="AI327" s="4">
        <f t="shared" si="121"/>
        <v>4473380000</v>
      </c>
    </row>
    <row r="328" spans="1:35">
      <c r="A328" s="3">
        <v>326</v>
      </c>
      <c r="B328" s="3" t="s">
        <v>990</v>
      </c>
      <c r="C328" s="3" t="s">
        <v>667</v>
      </c>
      <c r="D328" s="4">
        <v>1855</v>
      </c>
      <c r="E328" s="4">
        <v>10542007.530996218</v>
      </c>
      <c r="F328" s="4">
        <v>0</v>
      </c>
      <c r="G328" s="4">
        <v>0</v>
      </c>
      <c r="H328" s="4">
        <f t="shared" si="105"/>
        <v>10542007.530996218</v>
      </c>
      <c r="I328" s="4">
        <f t="shared" si="106"/>
        <v>5683.022927760765</v>
      </c>
      <c r="J328" s="4">
        <v>1814.5</v>
      </c>
      <c r="K328" s="5">
        <f t="shared" si="107"/>
        <v>1814.5</v>
      </c>
      <c r="L328" s="4">
        <v>5170</v>
      </c>
      <c r="M328" s="4">
        <f t="shared" si="103"/>
        <v>9611127.4285743106</v>
      </c>
      <c r="N328" s="4">
        <f t="shared" si="108"/>
        <v>-930880.10242190817</v>
      </c>
      <c r="O328" s="4">
        <f t="shared" si="109"/>
        <v>0</v>
      </c>
      <c r="P328" s="4">
        <f t="shared" si="110"/>
        <v>-930880.10242190817</v>
      </c>
      <c r="T328" s="4">
        <f t="shared" si="102"/>
        <v>5683.022927760765</v>
      </c>
      <c r="U328" s="4">
        <f t="shared" si="111"/>
        <v>-930880.10242190817</v>
      </c>
      <c r="V328" s="4">
        <f t="shared" si="112"/>
        <v>0</v>
      </c>
      <c r="W328" s="4">
        <f t="shared" si="113"/>
        <v>-930880.10242190817</v>
      </c>
      <c r="X328" s="5">
        <f t="shared" si="114"/>
        <v>9611127.4285743106</v>
      </c>
      <c r="Y328" s="5">
        <f t="shared" si="115"/>
        <v>0</v>
      </c>
      <c r="Z328" s="5">
        <f t="shared" si="115"/>
        <v>0</v>
      </c>
      <c r="AB328" s="5">
        <f t="shared" si="104"/>
        <v>40.5</v>
      </c>
      <c r="AC328" s="4">
        <f t="shared" si="116"/>
        <v>230162.42857431099</v>
      </c>
      <c r="AD328" s="4">
        <f t="shared" si="117"/>
        <v>209385</v>
      </c>
      <c r="AE328" s="5">
        <f t="shared" si="118"/>
        <v>20777.428574310994</v>
      </c>
      <c r="AF328" s="3" t="str">
        <f t="shared" si="119"/>
        <v>Y</v>
      </c>
      <c r="AH328" s="4">
        <f t="shared" si="120"/>
        <v>10311845.102421908</v>
      </c>
      <c r="AI328" s="4">
        <f t="shared" si="121"/>
        <v>9380965</v>
      </c>
    </row>
    <row r="329" spans="1:35">
      <c r="A329" s="3">
        <v>327</v>
      </c>
      <c r="B329" s="3" t="s">
        <v>991</v>
      </c>
      <c r="C329" s="3" t="s">
        <v>667</v>
      </c>
      <c r="D329" s="4">
        <v>1800</v>
      </c>
      <c r="E329" s="4">
        <v>19397267.387919031</v>
      </c>
      <c r="F329" s="4">
        <v>0</v>
      </c>
      <c r="G329" s="4">
        <v>0</v>
      </c>
      <c r="H329" s="4">
        <f t="shared" si="105"/>
        <v>19397267.387919031</v>
      </c>
      <c r="I329" s="4">
        <f t="shared" si="106"/>
        <v>10776.259659955018</v>
      </c>
      <c r="J329" s="4">
        <v>2998.7</v>
      </c>
      <c r="K329" s="5">
        <f t="shared" si="107"/>
        <v>1800</v>
      </c>
      <c r="L329" s="4">
        <v>11350</v>
      </c>
      <c r="M329" s="4">
        <f t="shared" si="103"/>
        <v>20430000</v>
      </c>
      <c r="N329" s="4">
        <f t="shared" si="108"/>
        <v>1032732.6120809678</v>
      </c>
      <c r="O329" s="4">
        <f t="shared" si="109"/>
        <v>1032732.6120809678</v>
      </c>
      <c r="P329" s="4">
        <f t="shared" si="110"/>
        <v>0</v>
      </c>
      <c r="T329" s="4">
        <f t="shared" si="102"/>
        <v>10776.259659955018</v>
      </c>
      <c r="U329" s="4">
        <f t="shared" si="111"/>
        <v>1032732.6120809678</v>
      </c>
      <c r="V329" s="4">
        <f t="shared" si="112"/>
        <v>1032732.6120809678</v>
      </c>
      <c r="W329" s="4">
        <f t="shared" si="113"/>
        <v>0</v>
      </c>
      <c r="X329" s="5">
        <f t="shared" si="114"/>
        <v>20430000</v>
      </c>
      <c r="Y329" s="5">
        <f t="shared" si="115"/>
        <v>0</v>
      </c>
      <c r="Z329" s="5">
        <f t="shared" si="115"/>
        <v>0</v>
      </c>
      <c r="AB329" s="5">
        <f t="shared" si="104"/>
        <v>-1198.6999999999998</v>
      </c>
      <c r="AC329" s="4">
        <f t="shared" si="116"/>
        <v>-12917502.454388078</v>
      </c>
      <c r="AD329" s="4">
        <f t="shared" si="117"/>
        <v>-13605244.999999998</v>
      </c>
      <c r="AE329" s="5">
        <f t="shared" si="118"/>
        <v>0</v>
      </c>
      <c r="AF329" s="3" t="str">
        <f t="shared" si="119"/>
        <v>N</v>
      </c>
      <c r="AH329" s="4">
        <f t="shared" si="120"/>
        <v>19397267.387919031</v>
      </c>
      <c r="AI329" s="4">
        <f t="shared" si="121"/>
        <v>20430000</v>
      </c>
    </row>
    <row r="330" spans="1:35">
      <c r="A330" s="3">
        <v>328</v>
      </c>
      <c r="B330" s="3" t="s">
        <v>992</v>
      </c>
      <c r="C330" s="3" t="s">
        <v>667</v>
      </c>
      <c r="D330" s="4">
        <v>9000</v>
      </c>
      <c r="E330" s="4">
        <v>123329497.7991533</v>
      </c>
      <c r="F330" s="4">
        <v>0</v>
      </c>
      <c r="G330" s="4">
        <v>0</v>
      </c>
      <c r="H330" s="4">
        <f t="shared" si="105"/>
        <v>123329497.7991533</v>
      </c>
      <c r="I330" s="4">
        <f t="shared" si="106"/>
        <v>13703.277533239256</v>
      </c>
      <c r="J330" s="4">
        <v>1127.4000000000001</v>
      </c>
      <c r="K330" s="5">
        <f t="shared" si="107"/>
        <v>1127.4000000000001</v>
      </c>
      <c r="L330" s="4">
        <v>13703.277533239256</v>
      </c>
      <c r="M330" s="4">
        <f t="shared" si="103"/>
        <v>123329497.7991533</v>
      </c>
      <c r="N330" s="4">
        <f t="shared" si="108"/>
        <v>0</v>
      </c>
      <c r="O330" s="4">
        <f t="shared" si="109"/>
        <v>0</v>
      </c>
      <c r="P330" s="4">
        <f t="shared" si="110"/>
        <v>0</v>
      </c>
      <c r="Q330" s="3" t="s">
        <v>715</v>
      </c>
      <c r="T330" s="4">
        <f t="shared" si="102"/>
        <v>13703.277533239256</v>
      </c>
      <c r="U330" s="4">
        <f t="shared" si="111"/>
        <v>0</v>
      </c>
      <c r="V330" s="4">
        <f t="shared" si="112"/>
        <v>0</v>
      </c>
      <c r="W330" s="4">
        <f t="shared" si="113"/>
        <v>0</v>
      </c>
      <c r="X330" s="5">
        <f t="shared" si="114"/>
        <v>123329497.7991533</v>
      </c>
      <c r="Y330" s="5">
        <f t="shared" si="115"/>
        <v>0</v>
      </c>
      <c r="Z330" s="5">
        <f t="shared" si="115"/>
        <v>0</v>
      </c>
      <c r="AB330" s="5">
        <f t="shared" si="104"/>
        <v>7872.6</v>
      </c>
      <c r="AC330" s="4">
        <f t="shared" si="116"/>
        <v>107880422.70817937</v>
      </c>
      <c r="AD330" s="4">
        <f t="shared" si="117"/>
        <v>107880422.70817937</v>
      </c>
      <c r="AE330" s="5">
        <f t="shared" si="118"/>
        <v>0</v>
      </c>
      <c r="AF330" s="3" t="str">
        <f t="shared" si="119"/>
        <v>N</v>
      </c>
      <c r="AH330" s="4">
        <f t="shared" si="120"/>
        <v>15449075.090973938</v>
      </c>
      <c r="AI330" s="4">
        <f t="shared" si="121"/>
        <v>15449075.090973938</v>
      </c>
    </row>
    <row r="331" spans="1:35">
      <c r="A331" s="3">
        <v>329</v>
      </c>
      <c r="B331" s="3" t="s">
        <v>993</v>
      </c>
      <c r="C331" s="3" t="s">
        <v>667</v>
      </c>
      <c r="D331" s="4">
        <v>8755</v>
      </c>
      <c r="E331" s="4">
        <v>32860291.344729856</v>
      </c>
      <c r="F331" s="4">
        <v>0</v>
      </c>
      <c r="G331" s="4">
        <v>0</v>
      </c>
      <c r="H331" s="4">
        <f t="shared" si="105"/>
        <v>32860291.344729856</v>
      </c>
      <c r="I331" s="4">
        <f t="shared" si="106"/>
        <v>3753.317115331794</v>
      </c>
      <c r="J331" s="4">
        <v>8668.1</v>
      </c>
      <c r="K331" s="5">
        <f t="shared" si="107"/>
        <v>8668.1</v>
      </c>
      <c r="L331" s="4">
        <v>17100</v>
      </c>
      <c r="M331" s="4">
        <f t="shared" si="103"/>
        <v>148550673.25732231</v>
      </c>
      <c r="N331" s="4">
        <f t="shared" si="108"/>
        <v>115690381.91259247</v>
      </c>
      <c r="O331" s="4">
        <f t="shared" si="109"/>
        <v>115690381.91259247</v>
      </c>
      <c r="P331" s="4">
        <f t="shared" si="110"/>
        <v>0</v>
      </c>
      <c r="T331" s="4">
        <f t="shared" si="102"/>
        <v>3753.317115331794</v>
      </c>
      <c r="U331" s="4">
        <f t="shared" si="111"/>
        <v>115690381.91259247</v>
      </c>
      <c r="V331" s="4">
        <f t="shared" si="112"/>
        <v>115690381.91259247</v>
      </c>
      <c r="W331" s="4">
        <f t="shared" si="113"/>
        <v>0</v>
      </c>
      <c r="X331" s="5">
        <f t="shared" si="114"/>
        <v>148550673.25732231</v>
      </c>
      <c r="Y331" s="5">
        <f t="shared" si="115"/>
        <v>0</v>
      </c>
      <c r="Z331" s="5">
        <f t="shared" si="115"/>
        <v>0</v>
      </c>
      <c r="AB331" s="5">
        <f t="shared" si="104"/>
        <v>86.899999999999636</v>
      </c>
      <c r="AC331" s="4">
        <f t="shared" si="116"/>
        <v>326163.25732233154</v>
      </c>
      <c r="AD331" s="4">
        <f t="shared" si="117"/>
        <v>1485989.9999999937</v>
      </c>
      <c r="AE331" s="5">
        <f t="shared" si="118"/>
        <v>-1159826.7426776621</v>
      </c>
      <c r="AF331" s="3" t="str">
        <f t="shared" si="119"/>
        <v>N</v>
      </c>
      <c r="AH331" s="4">
        <f t="shared" si="120"/>
        <v>32534128.087407526</v>
      </c>
      <c r="AI331" s="4">
        <f t="shared" si="121"/>
        <v>148224510</v>
      </c>
    </row>
    <row r="332" spans="1:35">
      <c r="A332" s="3">
        <v>330</v>
      </c>
      <c r="B332" s="3" t="s">
        <v>994</v>
      </c>
      <c r="C332" s="3" t="s">
        <v>667</v>
      </c>
      <c r="D332" s="4">
        <v>5800</v>
      </c>
      <c r="E332" s="4">
        <v>587054153.91979408</v>
      </c>
      <c r="F332" s="4">
        <v>0</v>
      </c>
      <c r="G332" s="4">
        <v>0</v>
      </c>
      <c r="H332" s="4">
        <f t="shared" si="105"/>
        <v>587054153.91979408</v>
      </c>
      <c r="I332" s="4">
        <f t="shared" si="106"/>
        <v>101216.23343444726</v>
      </c>
      <c r="J332" s="4">
        <v>5792</v>
      </c>
      <c r="K332" s="5">
        <f t="shared" si="107"/>
        <v>5792</v>
      </c>
      <c r="L332" s="4">
        <v>108000</v>
      </c>
      <c r="M332" s="4">
        <f t="shared" si="103"/>
        <v>626345729.86747551</v>
      </c>
      <c r="N332" s="4">
        <f t="shared" si="108"/>
        <v>39291575.947681457</v>
      </c>
      <c r="O332" s="4">
        <f t="shared" si="109"/>
        <v>39291575.947681457</v>
      </c>
      <c r="P332" s="4">
        <f t="shared" si="110"/>
        <v>0</v>
      </c>
      <c r="T332" s="4">
        <f t="shared" si="102"/>
        <v>101216.23343444726</v>
      </c>
      <c r="U332" s="4">
        <f t="shared" si="111"/>
        <v>39291575.947681457</v>
      </c>
      <c r="V332" s="4">
        <f t="shared" si="112"/>
        <v>39291575.947681457</v>
      </c>
      <c r="W332" s="4">
        <f t="shared" si="113"/>
        <v>0</v>
      </c>
      <c r="X332" s="5">
        <f t="shared" si="114"/>
        <v>626345729.86747551</v>
      </c>
      <c r="Y332" s="5">
        <f t="shared" si="115"/>
        <v>0</v>
      </c>
      <c r="Z332" s="5">
        <f t="shared" si="115"/>
        <v>0</v>
      </c>
      <c r="AB332" s="5">
        <f t="shared" si="104"/>
        <v>8</v>
      </c>
      <c r="AC332" s="4">
        <f t="shared" si="116"/>
        <v>809729.8674755781</v>
      </c>
      <c r="AD332" s="4">
        <f t="shared" si="117"/>
        <v>864000</v>
      </c>
      <c r="AE332" s="5">
        <f t="shared" si="118"/>
        <v>-54270.132524421904</v>
      </c>
      <c r="AF332" s="3" t="str">
        <f t="shared" si="119"/>
        <v>N</v>
      </c>
      <c r="AH332" s="4">
        <f t="shared" si="120"/>
        <v>586244424.05231857</v>
      </c>
      <c r="AI332" s="4">
        <f t="shared" si="121"/>
        <v>625536000</v>
      </c>
    </row>
    <row r="333" spans="1:35">
      <c r="A333" s="3">
        <v>331</v>
      </c>
      <c r="B333" s="3" t="s">
        <v>995</v>
      </c>
      <c r="C333" s="3" t="s">
        <v>667</v>
      </c>
      <c r="D333" s="4">
        <v>1050</v>
      </c>
      <c r="E333" s="4">
        <v>19727248.973050181</v>
      </c>
      <c r="F333" s="4">
        <v>0</v>
      </c>
      <c r="G333" s="4">
        <v>0</v>
      </c>
      <c r="H333" s="4">
        <f t="shared" si="105"/>
        <v>19727248.973050181</v>
      </c>
      <c r="I333" s="4">
        <f t="shared" si="106"/>
        <v>18787.856164809695</v>
      </c>
      <c r="J333" s="4">
        <v>734.7</v>
      </c>
      <c r="K333" s="5">
        <f t="shared" si="107"/>
        <v>734.7</v>
      </c>
      <c r="L333" s="4">
        <v>15300</v>
      </c>
      <c r="M333" s="4">
        <f t="shared" si="103"/>
        <v>17164721.048764497</v>
      </c>
      <c r="N333" s="4">
        <f t="shared" si="108"/>
        <v>-2562527.9242856828</v>
      </c>
      <c r="O333" s="4">
        <f t="shared" si="109"/>
        <v>0</v>
      </c>
      <c r="P333" s="4">
        <f t="shared" si="110"/>
        <v>-2562527.9242856828</v>
      </c>
      <c r="T333" s="4">
        <f t="shared" si="102"/>
        <v>18787.856164809695</v>
      </c>
      <c r="U333" s="4">
        <f t="shared" si="111"/>
        <v>-2562527.9242856828</v>
      </c>
      <c r="V333" s="4">
        <f t="shared" si="112"/>
        <v>0</v>
      </c>
      <c r="W333" s="4">
        <f t="shared" si="113"/>
        <v>-2562527.9242856828</v>
      </c>
      <c r="X333" s="5">
        <f t="shared" si="114"/>
        <v>17164721.048764497</v>
      </c>
      <c r="Y333" s="5">
        <f t="shared" si="115"/>
        <v>0</v>
      </c>
      <c r="Z333" s="5">
        <f t="shared" si="115"/>
        <v>0</v>
      </c>
      <c r="AB333" s="5">
        <f t="shared" si="104"/>
        <v>315.29999999999995</v>
      </c>
      <c r="AC333" s="4">
        <f t="shared" si="116"/>
        <v>5923811.0487644961</v>
      </c>
      <c r="AD333" s="4">
        <f t="shared" si="117"/>
        <v>4824089.9999999991</v>
      </c>
      <c r="AE333" s="5">
        <f t="shared" si="118"/>
        <v>1099721.048764497</v>
      </c>
      <c r="AF333" s="3" t="str">
        <f t="shared" si="119"/>
        <v>Y</v>
      </c>
      <c r="AH333" s="4">
        <f t="shared" si="120"/>
        <v>13803437.924285684</v>
      </c>
      <c r="AI333" s="4">
        <f t="shared" si="121"/>
        <v>11240910</v>
      </c>
    </row>
    <row r="334" spans="1:35">
      <c r="A334" s="3">
        <v>332</v>
      </c>
      <c r="B334" s="3" t="s">
        <v>996</v>
      </c>
      <c r="C334" s="3" t="s">
        <v>667</v>
      </c>
      <c r="D334" s="4">
        <v>2000</v>
      </c>
      <c r="E334" s="4">
        <v>44963619.005625501</v>
      </c>
      <c r="F334" s="4">
        <v>0</v>
      </c>
      <c r="G334" s="4">
        <v>0</v>
      </c>
      <c r="H334" s="4">
        <f t="shared" si="105"/>
        <v>44963619.005625501</v>
      </c>
      <c r="I334" s="4">
        <f t="shared" si="106"/>
        <v>22481.80950281275</v>
      </c>
      <c r="J334" s="4">
        <v>2119.6999999999998</v>
      </c>
      <c r="K334" s="5">
        <f t="shared" si="107"/>
        <v>2000</v>
      </c>
      <c r="L334" s="4">
        <v>17000</v>
      </c>
      <c r="M334" s="4">
        <f t="shared" si="103"/>
        <v>34000000</v>
      </c>
      <c r="N334" s="4">
        <f t="shared" si="108"/>
        <v>-10963619.005625499</v>
      </c>
      <c r="O334" s="4">
        <f t="shared" si="109"/>
        <v>0</v>
      </c>
      <c r="P334" s="4">
        <f t="shared" si="110"/>
        <v>-10963619.005625499</v>
      </c>
      <c r="T334" s="4">
        <f t="shared" si="102"/>
        <v>22481.80950281275</v>
      </c>
      <c r="U334" s="4">
        <f t="shared" si="111"/>
        <v>-10963619.005625499</v>
      </c>
      <c r="V334" s="4">
        <f t="shared" si="112"/>
        <v>0</v>
      </c>
      <c r="W334" s="4">
        <f t="shared" si="113"/>
        <v>-10963619.005625499</v>
      </c>
      <c r="X334" s="5">
        <f t="shared" si="114"/>
        <v>34000000</v>
      </c>
      <c r="Y334" s="5">
        <f t="shared" si="115"/>
        <v>0</v>
      </c>
      <c r="Z334" s="5">
        <f t="shared" si="115"/>
        <v>0</v>
      </c>
      <c r="AB334" s="5">
        <f t="shared" si="104"/>
        <v>-119.69999999999982</v>
      </c>
      <c r="AC334" s="4">
        <f t="shared" si="116"/>
        <v>-2691072.5974866822</v>
      </c>
      <c r="AD334" s="4">
        <f t="shared" si="117"/>
        <v>-2034899.999999997</v>
      </c>
      <c r="AE334" s="5">
        <f t="shared" si="118"/>
        <v>0</v>
      </c>
      <c r="AF334" s="3" t="str">
        <f t="shared" si="119"/>
        <v>N</v>
      </c>
      <c r="AH334" s="4">
        <f t="shared" si="120"/>
        <v>44963619.005625501</v>
      </c>
      <c r="AI334" s="4">
        <f t="shared" si="121"/>
        <v>34000000</v>
      </c>
    </row>
    <row r="335" spans="1:35">
      <c r="A335" s="3">
        <v>333</v>
      </c>
      <c r="B335" s="3" t="s">
        <v>52</v>
      </c>
      <c r="C335" s="3" t="s">
        <v>667</v>
      </c>
      <c r="D335" s="4">
        <v>41160</v>
      </c>
      <c r="E335" s="4">
        <v>618898374.81037354</v>
      </c>
      <c r="F335" s="4">
        <v>0</v>
      </c>
      <c r="G335" s="4">
        <v>0</v>
      </c>
      <c r="H335" s="4">
        <f t="shared" si="105"/>
        <v>618898374.81037354</v>
      </c>
      <c r="I335" s="4">
        <f t="shared" si="106"/>
        <v>15036.403664003245</v>
      </c>
      <c r="J335" s="4">
        <v>41136.699999999997</v>
      </c>
      <c r="K335" s="5">
        <f t="shared" si="107"/>
        <v>41136.699999999997</v>
      </c>
      <c r="L335" s="4">
        <v>22250</v>
      </c>
      <c r="M335" s="4">
        <f t="shared" si="103"/>
        <v>915641923.20537126</v>
      </c>
      <c r="N335" s="4">
        <f t="shared" si="108"/>
        <v>296743548.39499772</v>
      </c>
      <c r="O335" s="4">
        <f t="shared" si="109"/>
        <v>296743548.39499772</v>
      </c>
      <c r="P335" s="4">
        <f t="shared" si="110"/>
        <v>0</v>
      </c>
      <c r="T335" s="4">
        <f t="shared" si="102"/>
        <v>15036.403664003245</v>
      </c>
      <c r="U335" s="4">
        <f t="shared" si="111"/>
        <v>296743548.39499772</v>
      </c>
      <c r="V335" s="4">
        <f t="shared" si="112"/>
        <v>296743548.39499772</v>
      </c>
      <c r="W335" s="4">
        <f t="shared" si="113"/>
        <v>0</v>
      </c>
      <c r="X335" s="5">
        <f t="shared" si="114"/>
        <v>915641923.20537126</v>
      </c>
      <c r="Y335" s="5">
        <f t="shared" si="115"/>
        <v>0</v>
      </c>
      <c r="Z335" s="5">
        <f t="shared" si="115"/>
        <v>0</v>
      </c>
      <c r="AB335" s="5">
        <f t="shared" si="104"/>
        <v>23.30000000000291</v>
      </c>
      <c r="AC335" s="4">
        <f t="shared" si="116"/>
        <v>350348.20537131937</v>
      </c>
      <c r="AD335" s="4">
        <f t="shared" si="117"/>
        <v>518425.00000006473</v>
      </c>
      <c r="AE335" s="5">
        <f t="shared" si="118"/>
        <v>-168076.79462874535</v>
      </c>
      <c r="AF335" s="3" t="str">
        <f t="shared" si="119"/>
        <v>N</v>
      </c>
      <c r="AH335" s="4">
        <f t="shared" si="120"/>
        <v>618548026.60500228</v>
      </c>
      <c r="AI335" s="4">
        <f t="shared" si="121"/>
        <v>915291574.99999988</v>
      </c>
    </row>
    <row r="336" spans="1:35">
      <c r="A336" s="3">
        <v>334</v>
      </c>
      <c r="B336" s="3" t="s">
        <v>997</v>
      </c>
      <c r="C336" s="3" t="s">
        <v>667</v>
      </c>
      <c r="D336" s="4">
        <v>2600</v>
      </c>
      <c r="E336" s="4">
        <v>26367064.131528586</v>
      </c>
      <c r="F336" s="4">
        <v>0</v>
      </c>
      <c r="G336" s="4">
        <v>0</v>
      </c>
      <c r="H336" s="4">
        <f t="shared" si="105"/>
        <v>26367064.131528586</v>
      </c>
      <c r="I336" s="4">
        <f t="shared" si="106"/>
        <v>10141.17851212638</v>
      </c>
      <c r="J336" s="4">
        <v>2543.3000000000002</v>
      </c>
      <c r="K336" s="5">
        <f t="shared" si="107"/>
        <v>2543.3000000000002</v>
      </c>
      <c r="L336" s="4">
        <v>6700</v>
      </c>
      <c r="M336" s="4">
        <f t="shared" si="103"/>
        <v>17615114.821637563</v>
      </c>
      <c r="N336" s="4">
        <f t="shared" si="108"/>
        <v>-8751949.3098910227</v>
      </c>
      <c r="O336" s="4">
        <f t="shared" si="109"/>
        <v>0</v>
      </c>
      <c r="P336" s="4">
        <f t="shared" si="110"/>
        <v>-8751949.3098910227</v>
      </c>
      <c r="T336" s="4">
        <f t="shared" si="102"/>
        <v>10141.17851212638</v>
      </c>
      <c r="U336" s="4">
        <f t="shared" si="111"/>
        <v>-8751949.3098910227</v>
      </c>
      <c r="V336" s="4">
        <f t="shared" si="112"/>
        <v>0</v>
      </c>
      <c r="W336" s="4">
        <f t="shared" si="113"/>
        <v>-8751949.3098910227</v>
      </c>
      <c r="X336" s="5">
        <f t="shared" si="114"/>
        <v>17615114.821637563</v>
      </c>
      <c r="Y336" s="5">
        <f t="shared" si="115"/>
        <v>0</v>
      </c>
      <c r="Z336" s="5">
        <f t="shared" si="115"/>
        <v>0</v>
      </c>
      <c r="AB336" s="5">
        <f t="shared" si="104"/>
        <v>56.699999999999818</v>
      </c>
      <c r="AC336" s="4">
        <f t="shared" si="116"/>
        <v>575004.82163756387</v>
      </c>
      <c r="AD336" s="4">
        <f t="shared" si="117"/>
        <v>379889.99999999878</v>
      </c>
      <c r="AE336" s="5">
        <f t="shared" si="118"/>
        <v>195114.8216375651</v>
      </c>
      <c r="AF336" s="3" t="str">
        <f t="shared" si="119"/>
        <v>Y</v>
      </c>
      <c r="AH336" s="4">
        <f t="shared" si="120"/>
        <v>25792059.309891023</v>
      </c>
      <c r="AI336" s="4">
        <f t="shared" si="121"/>
        <v>17040110</v>
      </c>
    </row>
    <row r="337" spans="1:35">
      <c r="A337" s="3">
        <v>335</v>
      </c>
      <c r="B337" s="3" t="s">
        <v>998</v>
      </c>
      <c r="C337" s="3" t="s">
        <v>667</v>
      </c>
      <c r="D337" s="4">
        <v>1300</v>
      </c>
      <c r="E337" s="4">
        <v>11579619.603523878</v>
      </c>
      <c r="F337" s="4">
        <v>0</v>
      </c>
      <c r="G337" s="4">
        <v>0</v>
      </c>
      <c r="H337" s="4">
        <f t="shared" si="105"/>
        <v>11579619.603523878</v>
      </c>
      <c r="I337" s="4">
        <f t="shared" si="106"/>
        <v>8907.3996950183682</v>
      </c>
      <c r="J337" s="4">
        <v>1235</v>
      </c>
      <c r="K337" s="5">
        <f t="shared" si="107"/>
        <v>1235</v>
      </c>
      <c r="L337" s="4">
        <v>10000</v>
      </c>
      <c r="M337" s="4">
        <f t="shared" si="103"/>
        <v>12928980.980176194</v>
      </c>
      <c r="N337" s="4">
        <f t="shared" si="108"/>
        <v>1349361.3766523153</v>
      </c>
      <c r="O337" s="4">
        <f t="shared" si="109"/>
        <v>1349361.3766523153</v>
      </c>
      <c r="P337" s="4">
        <f t="shared" si="110"/>
        <v>0</v>
      </c>
      <c r="T337" s="4">
        <f t="shared" si="102"/>
        <v>8907.3996950183682</v>
      </c>
      <c r="U337" s="4">
        <f t="shared" si="111"/>
        <v>1349361.3766523153</v>
      </c>
      <c r="V337" s="4">
        <f t="shared" si="112"/>
        <v>1349361.3766523153</v>
      </c>
      <c r="W337" s="4">
        <f t="shared" si="113"/>
        <v>0</v>
      </c>
      <c r="X337" s="5">
        <f t="shared" si="114"/>
        <v>12928980.980176194</v>
      </c>
      <c r="Y337" s="5">
        <f t="shared" si="115"/>
        <v>0</v>
      </c>
      <c r="Z337" s="5">
        <f t="shared" si="115"/>
        <v>0</v>
      </c>
      <c r="AB337" s="5">
        <f t="shared" si="104"/>
        <v>65</v>
      </c>
      <c r="AC337" s="4">
        <f t="shared" si="116"/>
        <v>578980.98017619399</v>
      </c>
      <c r="AD337" s="4">
        <f t="shared" si="117"/>
        <v>650000</v>
      </c>
      <c r="AE337" s="5">
        <f t="shared" si="118"/>
        <v>-71019.019823806011</v>
      </c>
      <c r="AF337" s="3" t="str">
        <f t="shared" si="119"/>
        <v>N</v>
      </c>
      <c r="AH337" s="4">
        <f t="shared" si="120"/>
        <v>11000638.623347685</v>
      </c>
      <c r="AI337" s="4">
        <f t="shared" si="121"/>
        <v>12350000</v>
      </c>
    </row>
    <row r="338" spans="1:35">
      <c r="A338" s="3">
        <v>336</v>
      </c>
      <c r="B338" s="3" t="s">
        <v>999</v>
      </c>
      <c r="C338" s="3" t="s">
        <v>667</v>
      </c>
      <c r="D338" s="4">
        <v>1450</v>
      </c>
      <c r="E338" s="4">
        <v>17960134.534681074</v>
      </c>
      <c r="F338" s="4">
        <v>0</v>
      </c>
      <c r="G338" s="4">
        <v>0</v>
      </c>
      <c r="H338" s="4">
        <f t="shared" si="105"/>
        <v>17960134.534681074</v>
      </c>
      <c r="I338" s="4">
        <f t="shared" si="106"/>
        <v>12386.299679090396</v>
      </c>
      <c r="J338" s="4">
        <v>1323.4</v>
      </c>
      <c r="K338" s="5">
        <f t="shared" si="107"/>
        <v>1323.4</v>
      </c>
      <c r="L338" s="4">
        <v>14000</v>
      </c>
      <c r="M338" s="4">
        <f t="shared" si="103"/>
        <v>20095705.539372843</v>
      </c>
      <c r="N338" s="4">
        <f t="shared" si="108"/>
        <v>2135571.0046917698</v>
      </c>
      <c r="O338" s="4">
        <f t="shared" si="109"/>
        <v>2135571.0046917698</v>
      </c>
      <c r="P338" s="4">
        <f t="shared" si="110"/>
        <v>0</v>
      </c>
      <c r="T338" s="4">
        <f t="shared" si="102"/>
        <v>12386.299679090396</v>
      </c>
      <c r="U338" s="4">
        <f t="shared" si="111"/>
        <v>2135571.0046917698</v>
      </c>
      <c r="V338" s="4">
        <f t="shared" si="112"/>
        <v>2135571.0046917698</v>
      </c>
      <c r="W338" s="4">
        <f t="shared" si="113"/>
        <v>0</v>
      </c>
      <c r="X338" s="5">
        <f t="shared" si="114"/>
        <v>20095705.539372843</v>
      </c>
      <c r="Y338" s="5">
        <f t="shared" si="115"/>
        <v>0</v>
      </c>
      <c r="Z338" s="5">
        <f t="shared" si="115"/>
        <v>0</v>
      </c>
      <c r="AB338" s="5">
        <f t="shared" si="104"/>
        <v>126.59999999999991</v>
      </c>
      <c r="AC338" s="4">
        <f t="shared" si="116"/>
        <v>1568105.539372843</v>
      </c>
      <c r="AD338" s="4">
        <f t="shared" si="117"/>
        <v>1772399.9999999988</v>
      </c>
      <c r="AE338" s="5">
        <f t="shared" si="118"/>
        <v>-204294.46062715584</v>
      </c>
      <c r="AF338" s="3" t="str">
        <f t="shared" si="119"/>
        <v>N</v>
      </c>
      <c r="AH338" s="4">
        <f t="shared" si="120"/>
        <v>16392028.995308232</v>
      </c>
      <c r="AI338" s="4">
        <f t="shared" si="121"/>
        <v>18527600</v>
      </c>
    </row>
    <row r="339" spans="1:35">
      <c r="A339" s="3">
        <v>337</v>
      </c>
      <c r="B339" s="3" t="s">
        <v>1000</v>
      </c>
      <c r="C339" s="3" t="s">
        <v>667</v>
      </c>
      <c r="D339" s="4">
        <v>21600</v>
      </c>
      <c r="E339" s="4">
        <v>1605102655.520993</v>
      </c>
      <c r="F339" s="4">
        <v>0</v>
      </c>
      <c r="G339" s="4">
        <v>0</v>
      </c>
      <c r="H339" s="4">
        <f t="shared" si="105"/>
        <v>1605102655.520993</v>
      </c>
      <c r="I339" s="4">
        <f t="shared" si="106"/>
        <v>74310.308125971904</v>
      </c>
      <c r="J339" s="4">
        <v>21564.3</v>
      </c>
      <c r="K339" s="5">
        <f t="shared" si="107"/>
        <v>21564.3</v>
      </c>
      <c r="L339" s="4">
        <v>67600</v>
      </c>
      <c r="M339" s="4">
        <f t="shared" si="103"/>
        <v>1460399558.000097</v>
      </c>
      <c r="N339" s="4">
        <f t="shared" si="108"/>
        <v>-144703097.52089593</v>
      </c>
      <c r="O339" s="4">
        <f t="shared" si="109"/>
        <v>0</v>
      </c>
      <c r="P339" s="4">
        <f t="shared" si="110"/>
        <v>-144703097.52089593</v>
      </c>
      <c r="T339" s="4">
        <f t="shared" si="102"/>
        <v>74310.308125971904</v>
      </c>
      <c r="U339" s="4">
        <f t="shared" si="111"/>
        <v>-144703097.52089593</v>
      </c>
      <c r="V339" s="4">
        <f t="shared" si="112"/>
        <v>0</v>
      </c>
      <c r="W339" s="4">
        <f t="shared" si="113"/>
        <v>-144703097.52089593</v>
      </c>
      <c r="X339" s="5">
        <f t="shared" si="114"/>
        <v>1460399558.000097</v>
      </c>
      <c r="Y339" s="5">
        <f t="shared" si="115"/>
        <v>0</v>
      </c>
      <c r="Z339" s="5">
        <f t="shared" si="115"/>
        <v>0</v>
      </c>
      <c r="AB339" s="5">
        <f t="shared" si="104"/>
        <v>35.700000000000728</v>
      </c>
      <c r="AC339" s="4">
        <f t="shared" si="116"/>
        <v>2652878.000097251</v>
      </c>
      <c r="AD339" s="4">
        <f t="shared" si="117"/>
        <v>2413320.0000000494</v>
      </c>
      <c r="AE339" s="5">
        <f t="shared" si="118"/>
        <v>239558.00009720167</v>
      </c>
      <c r="AF339" s="3" t="str">
        <f t="shared" si="119"/>
        <v>Y</v>
      </c>
      <c r="AH339" s="4">
        <f t="shared" si="120"/>
        <v>1602449777.520896</v>
      </c>
      <c r="AI339" s="4">
        <f t="shared" si="121"/>
        <v>1457746680</v>
      </c>
    </row>
    <row r="340" spans="1:35">
      <c r="A340" s="3">
        <v>338</v>
      </c>
      <c r="B340" s="3" t="s">
        <v>1001</v>
      </c>
      <c r="C340" s="3" t="s">
        <v>667</v>
      </c>
      <c r="D340" s="4">
        <v>100</v>
      </c>
      <c r="E340" s="4">
        <v>1732216.7632154345</v>
      </c>
      <c r="F340" s="4">
        <v>0</v>
      </c>
      <c r="G340" s="4">
        <v>0</v>
      </c>
      <c r="H340" s="4">
        <f t="shared" si="105"/>
        <v>1732216.7632154345</v>
      </c>
      <c r="I340" s="4">
        <f t="shared" si="106"/>
        <v>17322.167632154345</v>
      </c>
      <c r="J340" s="4">
        <v>71.099999999999994</v>
      </c>
      <c r="K340" s="5">
        <f t="shared" si="107"/>
        <v>71.099999999999994</v>
      </c>
      <c r="L340" s="4">
        <v>13200</v>
      </c>
      <c r="M340" s="4">
        <f t="shared" si="103"/>
        <v>1439130.6445692605</v>
      </c>
      <c r="N340" s="4">
        <f t="shared" si="108"/>
        <v>-293086.11864617391</v>
      </c>
      <c r="O340" s="4">
        <f t="shared" si="109"/>
        <v>0</v>
      </c>
      <c r="P340" s="4">
        <f t="shared" si="110"/>
        <v>-293086.11864617391</v>
      </c>
      <c r="T340" s="4">
        <f t="shared" si="102"/>
        <v>17322.167632154345</v>
      </c>
      <c r="U340" s="4">
        <f t="shared" si="111"/>
        <v>-293086.11864617391</v>
      </c>
      <c r="V340" s="4">
        <f t="shared" si="112"/>
        <v>0</v>
      </c>
      <c r="W340" s="4">
        <f t="shared" si="113"/>
        <v>-293086.11864617391</v>
      </c>
      <c r="X340" s="5">
        <f t="shared" si="114"/>
        <v>1439130.6445692605</v>
      </c>
      <c r="Y340" s="5">
        <f t="shared" si="115"/>
        <v>0</v>
      </c>
      <c r="Z340" s="5">
        <f t="shared" si="115"/>
        <v>0</v>
      </c>
      <c r="AB340" s="5">
        <f t="shared" si="104"/>
        <v>28.900000000000006</v>
      </c>
      <c r="AC340" s="4">
        <f t="shared" si="116"/>
        <v>500610.64456926071</v>
      </c>
      <c r="AD340" s="4">
        <f t="shared" si="117"/>
        <v>381480.00000000006</v>
      </c>
      <c r="AE340" s="5">
        <f t="shared" si="118"/>
        <v>119130.64456926065</v>
      </c>
      <c r="AF340" s="3" t="str">
        <f t="shared" si="119"/>
        <v>Y</v>
      </c>
      <c r="AH340" s="4">
        <f t="shared" si="120"/>
        <v>1231606.118646174</v>
      </c>
      <c r="AI340" s="4">
        <f t="shared" si="121"/>
        <v>938519.99999999988</v>
      </c>
    </row>
    <row r="341" spans="1:35">
      <c r="A341" s="3">
        <v>339</v>
      </c>
      <c r="B341" s="3" t="s">
        <v>1002</v>
      </c>
      <c r="C341" s="3" t="s">
        <v>667</v>
      </c>
      <c r="D341" s="4">
        <v>5600</v>
      </c>
      <c r="E341" s="4">
        <v>62239754.527700633</v>
      </c>
      <c r="F341" s="4">
        <v>0</v>
      </c>
      <c r="G341" s="4">
        <v>0</v>
      </c>
      <c r="H341" s="4">
        <f t="shared" si="105"/>
        <v>62239754.527700633</v>
      </c>
      <c r="I341" s="4">
        <f t="shared" si="106"/>
        <v>11114.241879946541</v>
      </c>
      <c r="J341" s="4">
        <v>5546.2</v>
      </c>
      <c r="K341" s="5">
        <f t="shared" si="107"/>
        <v>5546.2</v>
      </c>
      <c r="L341" s="4">
        <v>11400</v>
      </c>
      <c r="M341" s="4">
        <f t="shared" si="103"/>
        <v>63824626.213141128</v>
      </c>
      <c r="N341" s="4">
        <f t="shared" si="108"/>
        <v>1584871.6854404926</v>
      </c>
      <c r="O341" s="4">
        <f t="shared" si="109"/>
        <v>1584871.6854404926</v>
      </c>
      <c r="P341" s="4">
        <f t="shared" si="110"/>
        <v>0</v>
      </c>
      <c r="T341" s="4">
        <f t="shared" si="102"/>
        <v>11114.241879946541</v>
      </c>
      <c r="U341" s="4">
        <f t="shared" si="111"/>
        <v>1584871.6854404926</v>
      </c>
      <c r="V341" s="4">
        <f t="shared" si="112"/>
        <v>1584871.6854404926</v>
      </c>
      <c r="W341" s="4">
        <f t="shared" si="113"/>
        <v>0</v>
      </c>
      <c r="X341" s="5">
        <f t="shared" si="114"/>
        <v>63824626.213141128</v>
      </c>
      <c r="Y341" s="5">
        <f t="shared" si="115"/>
        <v>0</v>
      </c>
      <c r="Z341" s="5">
        <f t="shared" si="115"/>
        <v>0</v>
      </c>
      <c r="AB341" s="5">
        <f t="shared" si="104"/>
        <v>53.800000000000182</v>
      </c>
      <c r="AC341" s="4">
        <f t="shared" si="116"/>
        <v>597946.21314112598</v>
      </c>
      <c r="AD341" s="4">
        <f t="shared" si="117"/>
        <v>613320.0000000021</v>
      </c>
      <c r="AE341" s="5">
        <f t="shared" si="118"/>
        <v>-15373.786858876119</v>
      </c>
      <c r="AF341" s="3" t="str">
        <f t="shared" si="119"/>
        <v>N</v>
      </c>
      <c r="AH341" s="4">
        <f t="shared" si="120"/>
        <v>61641808.314559504</v>
      </c>
      <c r="AI341" s="4">
        <f t="shared" si="121"/>
        <v>63226680</v>
      </c>
    </row>
    <row r="342" spans="1:35">
      <c r="A342" s="3">
        <v>340</v>
      </c>
      <c r="B342" s="3" t="s">
        <v>1003</v>
      </c>
      <c r="C342" s="3" t="s">
        <v>667</v>
      </c>
      <c r="D342" s="4">
        <v>33050</v>
      </c>
      <c r="E342" s="4">
        <v>647196439.23349822</v>
      </c>
      <c r="F342" s="4">
        <v>0</v>
      </c>
      <c r="G342" s="4">
        <v>0</v>
      </c>
      <c r="H342" s="4">
        <f t="shared" si="105"/>
        <v>647196439.23349822</v>
      </c>
      <c r="I342" s="4">
        <f t="shared" si="106"/>
        <v>19582.343093297979</v>
      </c>
      <c r="J342" s="4">
        <v>33024.6</v>
      </c>
      <c r="K342" s="5">
        <f t="shared" si="107"/>
        <v>33024.6</v>
      </c>
      <c r="L342" s="4">
        <v>19200</v>
      </c>
      <c r="M342" s="4">
        <f t="shared" si="103"/>
        <v>634569711.51456976</v>
      </c>
      <c r="N342" s="4">
        <f t="shared" si="108"/>
        <v>-12626727.71892844</v>
      </c>
      <c r="O342" s="4">
        <f t="shared" si="109"/>
        <v>0</v>
      </c>
      <c r="P342" s="4">
        <f t="shared" si="110"/>
        <v>-12626727.71892844</v>
      </c>
      <c r="T342" s="4">
        <f t="shared" si="102"/>
        <v>19582.343093297979</v>
      </c>
      <c r="U342" s="4">
        <f t="shared" si="111"/>
        <v>-12626727.71892844</v>
      </c>
      <c r="V342" s="4">
        <f t="shared" si="112"/>
        <v>0</v>
      </c>
      <c r="W342" s="4">
        <f t="shared" si="113"/>
        <v>-12626727.71892844</v>
      </c>
      <c r="X342" s="5">
        <f t="shared" si="114"/>
        <v>634569711.51456976</v>
      </c>
      <c r="Y342" s="5">
        <f t="shared" si="115"/>
        <v>0</v>
      </c>
      <c r="Z342" s="5">
        <f t="shared" si="115"/>
        <v>0</v>
      </c>
      <c r="AB342" s="5">
        <f t="shared" si="104"/>
        <v>25.400000000001455</v>
      </c>
      <c r="AC342" s="4">
        <f t="shared" si="116"/>
        <v>497391.51456979715</v>
      </c>
      <c r="AD342" s="4">
        <f t="shared" si="117"/>
        <v>487680.00000002794</v>
      </c>
      <c r="AE342" s="5">
        <f t="shared" si="118"/>
        <v>9711.514569769206</v>
      </c>
      <c r="AF342" s="3" t="str">
        <f t="shared" si="119"/>
        <v>Y</v>
      </c>
      <c r="AH342" s="4">
        <f t="shared" si="120"/>
        <v>646699047.71892846</v>
      </c>
      <c r="AI342" s="4">
        <f t="shared" si="121"/>
        <v>634072320</v>
      </c>
    </row>
    <row r="343" spans="1:35">
      <c r="A343" s="3">
        <v>341</v>
      </c>
      <c r="B343" s="3" t="s">
        <v>1004</v>
      </c>
      <c r="C343" s="3" t="s">
        <v>667</v>
      </c>
      <c r="D343" s="4">
        <v>400</v>
      </c>
      <c r="E343" s="4">
        <v>10598467.522384703</v>
      </c>
      <c r="F343" s="4">
        <v>0</v>
      </c>
      <c r="G343" s="4">
        <v>0</v>
      </c>
      <c r="H343" s="4">
        <f t="shared" si="105"/>
        <v>10598467.522384703</v>
      </c>
      <c r="I343" s="4">
        <f t="shared" si="106"/>
        <v>26496.168805961759</v>
      </c>
      <c r="J343" s="4">
        <v>366.2</v>
      </c>
      <c r="K343" s="5">
        <f t="shared" si="107"/>
        <v>366.2</v>
      </c>
      <c r="L343" s="4">
        <v>23600</v>
      </c>
      <c r="M343" s="4">
        <f t="shared" si="103"/>
        <v>9537890.505641507</v>
      </c>
      <c r="N343" s="4">
        <f t="shared" si="108"/>
        <v>-1060577.0167431962</v>
      </c>
      <c r="O343" s="4">
        <f t="shared" si="109"/>
        <v>0</v>
      </c>
      <c r="P343" s="4">
        <f t="shared" si="110"/>
        <v>-1060577.0167431962</v>
      </c>
      <c r="T343" s="4">
        <f t="shared" ref="T343:T402" si="122">H343/D343</f>
        <v>26496.168805961759</v>
      </c>
      <c r="U343" s="4">
        <f t="shared" si="111"/>
        <v>-1060577.0167431962</v>
      </c>
      <c r="V343" s="4">
        <f t="shared" si="112"/>
        <v>0</v>
      </c>
      <c r="W343" s="4">
        <f t="shared" si="113"/>
        <v>-1060577.0167431962</v>
      </c>
      <c r="X343" s="5">
        <f t="shared" si="114"/>
        <v>9537890.505641507</v>
      </c>
      <c r="Y343" s="5">
        <f t="shared" si="115"/>
        <v>0</v>
      </c>
      <c r="Z343" s="5">
        <f t="shared" si="115"/>
        <v>0</v>
      </c>
      <c r="AB343" s="5">
        <f t="shared" si="104"/>
        <v>33.800000000000011</v>
      </c>
      <c r="AC343" s="4">
        <f t="shared" si="116"/>
        <v>895570.5056415078</v>
      </c>
      <c r="AD343" s="4">
        <f t="shared" si="117"/>
        <v>797680.00000000023</v>
      </c>
      <c r="AE343" s="5">
        <f t="shared" si="118"/>
        <v>97890.505641507567</v>
      </c>
      <c r="AF343" s="3" t="str">
        <f t="shared" si="119"/>
        <v>Y</v>
      </c>
      <c r="AH343" s="4">
        <f t="shared" si="120"/>
        <v>9702897.0167431962</v>
      </c>
      <c r="AI343" s="4">
        <f t="shared" si="121"/>
        <v>8642320</v>
      </c>
    </row>
    <row r="344" spans="1:35">
      <c r="A344" s="3">
        <v>342</v>
      </c>
      <c r="B344" s="3" t="s">
        <v>1005</v>
      </c>
      <c r="C344" s="3" t="s">
        <v>667</v>
      </c>
      <c r="D344" s="4">
        <v>1939</v>
      </c>
      <c r="E344" s="4">
        <v>22606457.923030097</v>
      </c>
      <c r="F344" s="4">
        <v>0</v>
      </c>
      <c r="G344" s="4">
        <v>0</v>
      </c>
      <c r="H344" s="4">
        <f t="shared" si="105"/>
        <v>22606457.923030097</v>
      </c>
      <c r="I344" s="4">
        <f t="shared" si="106"/>
        <v>11658.823064997472</v>
      </c>
      <c r="J344" s="4">
        <v>1805.9</v>
      </c>
      <c r="K344" s="5">
        <f t="shared" si="107"/>
        <v>1805.9</v>
      </c>
      <c r="L344" s="4">
        <v>16900</v>
      </c>
      <c r="M344" s="4">
        <f t="shared" si="103"/>
        <v>32071499.349951163</v>
      </c>
      <c r="N344" s="4">
        <f t="shared" si="108"/>
        <v>9465041.4269210659</v>
      </c>
      <c r="O344" s="4">
        <f t="shared" si="109"/>
        <v>9465041.4269210659</v>
      </c>
      <c r="P344" s="4">
        <f t="shared" si="110"/>
        <v>0</v>
      </c>
      <c r="T344" s="4">
        <f t="shared" si="122"/>
        <v>11658.823064997472</v>
      </c>
      <c r="U344" s="4">
        <f t="shared" si="111"/>
        <v>9465041.4269210659</v>
      </c>
      <c r="V344" s="4">
        <f t="shared" si="112"/>
        <v>9465041.4269210659</v>
      </c>
      <c r="W344" s="4">
        <f t="shared" si="113"/>
        <v>0</v>
      </c>
      <c r="X344" s="5">
        <f t="shared" si="114"/>
        <v>32071499.349951163</v>
      </c>
      <c r="Y344" s="5">
        <f t="shared" si="115"/>
        <v>0</v>
      </c>
      <c r="Z344" s="5">
        <f t="shared" si="115"/>
        <v>0</v>
      </c>
      <c r="AB344" s="5">
        <f t="shared" si="104"/>
        <v>133.09999999999991</v>
      </c>
      <c r="AC344" s="4">
        <f t="shared" si="116"/>
        <v>1551789.3499511625</v>
      </c>
      <c r="AD344" s="4">
        <f t="shared" si="117"/>
        <v>2249389.9999999986</v>
      </c>
      <c r="AE344" s="5">
        <f t="shared" si="118"/>
        <v>-697600.65004883613</v>
      </c>
      <c r="AF344" s="3" t="str">
        <f t="shared" si="119"/>
        <v>N</v>
      </c>
      <c r="AH344" s="4">
        <f t="shared" si="120"/>
        <v>21054668.573078934</v>
      </c>
      <c r="AI344" s="4">
        <f t="shared" si="121"/>
        <v>30519710</v>
      </c>
    </row>
    <row r="345" spans="1:35">
      <c r="A345" s="3">
        <v>343</v>
      </c>
      <c r="B345" s="3" t="s">
        <v>1006</v>
      </c>
      <c r="C345" s="3" t="s">
        <v>667</v>
      </c>
      <c r="D345" s="4">
        <v>3400</v>
      </c>
      <c r="E345" s="4">
        <v>19377170.432071809</v>
      </c>
      <c r="F345" s="4">
        <v>0</v>
      </c>
      <c r="G345" s="4">
        <v>0</v>
      </c>
      <c r="H345" s="4">
        <f t="shared" si="105"/>
        <v>19377170.432071809</v>
      </c>
      <c r="I345" s="4">
        <f t="shared" si="106"/>
        <v>5699.1677741387675</v>
      </c>
      <c r="J345" s="4">
        <v>3306.7</v>
      </c>
      <c r="K345" s="5">
        <f t="shared" si="107"/>
        <v>3306.7</v>
      </c>
      <c r="L345" s="4">
        <v>8490</v>
      </c>
      <c r="M345" s="4">
        <f t="shared" si="103"/>
        <v>28605615.353327148</v>
      </c>
      <c r="N345" s="4">
        <f t="shared" si="108"/>
        <v>9228444.9212553371</v>
      </c>
      <c r="O345" s="4">
        <f t="shared" si="109"/>
        <v>9228444.9212553371</v>
      </c>
      <c r="P345" s="4">
        <f t="shared" si="110"/>
        <v>0</v>
      </c>
      <c r="T345" s="4">
        <f t="shared" si="122"/>
        <v>5699.1677741387675</v>
      </c>
      <c r="U345" s="4">
        <f t="shared" si="111"/>
        <v>9228444.9212553371</v>
      </c>
      <c r="V345" s="4">
        <f t="shared" si="112"/>
        <v>9228444.9212553371</v>
      </c>
      <c r="W345" s="4">
        <f t="shared" si="113"/>
        <v>0</v>
      </c>
      <c r="X345" s="5">
        <f t="shared" si="114"/>
        <v>28605615.353327148</v>
      </c>
      <c r="Y345" s="5">
        <f t="shared" si="115"/>
        <v>0</v>
      </c>
      <c r="Z345" s="5">
        <f t="shared" si="115"/>
        <v>0</v>
      </c>
      <c r="AB345" s="5">
        <f t="shared" si="104"/>
        <v>93.300000000000182</v>
      </c>
      <c r="AC345" s="4">
        <f t="shared" si="116"/>
        <v>531732.35332714801</v>
      </c>
      <c r="AD345" s="4">
        <f t="shared" si="117"/>
        <v>792117.00000000151</v>
      </c>
      <c r="AE345" s="5">
        <f t="shared" si="118"/>
        <v>-260384.6466728535</v>
      </c>
      <c r="AF345" s="3" t="str">
        <f t="shared" si="119"/>
        <v>N</v>
      </c>
      <c r="AH345" s="4">
        <f t="shared" si="120"/>
        <v>18845438.078744661</v>
      </c>
      <c r="AI345" s="4">
        <f t="shared" si="121"/>
        <v>28073883</v>
      </c>
    </row>
    <row r="346" spans="1:35">
      <c r="A346" s="3">
        <v>344</v>
      </c>
      <c r="B346" s="3" t="s">
        <v>1007</v>
      </c>
      <c r="C346" s="3" t="s">
        <v>667</v>
      </c>
      <c r="D346" s="4">
        <v>20</v>
      </c>
      <c r="E346" s="4">
        <v>1118009.6826250665</v>
      </c>
      <c r="F346" s="4">
        <v>0</v>
      </c>
      <c r="G346" s="4">
        <v>0</v>
      </c>
      <c r="H346" s="4">
        <f t="shared" si="105"/>
        <v>1118009.6826250665</v>
      </c>
      <c r="I346" s="4">
        <f t="shared" si="106"/>
        <v>55900.484131253324</v>
      </c>
      <c r="J346" s="4">
        <v>10.4</v>
      </c>
      <c r="K346" s="5">
        <f t="shared" si="107"/>
        <v>10.4</v>
      </c>
      <c r="L346" s="4">
        <v>55000</v>
      </c>
      <c r="M346" s="4">
        <f t="shared" si="103"/>
        <v>1108644.6476600319</v>
      </c>
      <c r="N346" s="4">
        <f t="shared" si="108"/>
        <v>-9365.0349650345743</v>
      </c>
      <c r="O346" s="4">
        <f t="shared" si="109"/>
        <v>0</v>
      </c>
      <c r="P346" s="4">
        <f t="shared" si="110"/>
        <v>-9365.0349650345743</v>
      </c>
      <c r="T346" s="4">
        <f t="shared" si="122"/>
        <v>55900.484131253324</v>
      </c>
      <c r="U346" s="4">
        <f t="shared" si="111"/>
        <v>-9365.0349650345743</v>
      </c>
      <c r="V346" s="4">
        <f t="shared" si="112"/>
        <v>0</v>
      </c>
      <c r="W346" s="4">
        <f t="shared" si="113"/>
        <v>-9365.0349650345743</v>
      </c>
      <c r="X346" s="5">
        <f t="shared" si="114"/>
        <v>1108644.6476600319</v>
      </c>
      <c r="Y346" s="5">
        <f t="shared" si="115"/>
        <v>0</v>
      </c>
      <c r="Z346" s="5">
        <f t="shared" si="115"/>
        <v>0</v>
      </c>
      <c r="AB346" s="5">
        <f t="shared" si="104"/>
        <v>9.6</v>
      </c>
      <c r="AC346" s="4">
        <f t="shared" si="116"/>
        <v>536644.64766003191</v>
      </c>
      <c r="AD346" s="4">
        <f t="shared" si="117"/>
        <v>528000</v>
      </c>
      <c r="AE346" s="5">
        <f t="shared" si="118"/>
        <v>8644.6476600319147</v>
      </c>
      <c r="AF346" s="3" t="str">
        <f t="shared" si="119"/>
        <v>Y</v>
      </c>
      <c r="AH346" s="4">
        <f t="shared" si="120"/>
        <v>581365.03496503457</v>
      </c>
      <c r="AI346" s="4">
        <f t="shared" si="121"/>
        <v>572000</v>
      </c>
    </row>
    <row r="347" spans="1:35">
      <c r="A347" s="3">
        <v>345</v>
      </c>
      <c r="B347" s="3" t="s">
        <v>1008</v>
      </c>
      <c r="C347" s="3" t="s">
        <v>667</v>
      </c>
      <c r="D347" s="4">
        <v>1000</v>
      </c>
      <c r="E347" s="4">
        <v>10534680.341453694</v>
      </c>
      <c r="F347" s="4">
        <v>0</v>
      </c>
      <c r="G347" s="4">
        <v>0</v>
      </c>
      <c r="H347" s="4">
        <f t="shared" si="105"/>
        <v>10534680.341453694</v>
      </c>
      <c r="I347" s="4">
        <f t="shared" si="106"/>
        <v>10534.680341453693</v>
      </c>
      <c r="J347" s="4">
        <v>921.5</v>
      </c>
      <c r="K347" s="5">
        <f t="shared" si="107"/>
        <v>921.5</v>
      </c>
      <c r="L347" s="4">
        <v>10350</v>
      </c>
      <c r="M347" s="4">
        <f t="shared" si="103"/>
        <v>10364497.406804115</v>
      </c>
      <c r="N347" s="4">
        <f t="shared" si="108"/>
        <v>-170182.93464957853</v>
      </c>
      <c r="O347" s="4">
        <f t="shared" si="109"/>
        <v>0</v>
      </c>
      <c r="P347" s="4">
        <f t="shared" si="110"/>
        <v>-170182.93464957853</v>
      </c>
      <c r="T347" s="4">
        <f t="shared" si="122"/>
        <v>10534.680341453693</v>
      </c>
      <c r="U347" s="4">
        <f t="shared" si="111"/>
        <v>-170182.93464957853</v>
      </c>
      <c r="V347" s="4">
        <f t="shared" si="112"/>
        <v>0</v>
      </c>
      <c r="W347" s="4">
        <f t="shared" si="113"/>
        <v>-170182.93464957853</v>
      </c>
      <c r="X347" s="5">
        <f t="shared" si="114"/>
        <v>10364497.406804115</v>
      </c>
      <c r="Y347" s="5">
        <f t="shared" si="115"/>
        <v>0</v>
      </c>
      <c r="Z347" s="5">
        <f t="shared" si="115"/>
        <v>0</v>
      </c>
      <c r="AB347" s="5">
        <f t="shared" si="104"/>
        <v>78.5</v>
      </c>
      <c r="AC347" s="4">
        <f t="shared" si="116"/>
        <v>826972.40680411493</v>
      </c>
      <c r="AD347" s="4">
        <f t="shared" si="117"/>
        <v>812475</v>
      </c>
      <c r="AE347" s="5">
        <f t="shared" si="118"/>
        <v>14497.406804114929</v>
      </c>
      <c r="AF347" s="3" t="str">
        <f t="shared" si="119"/>
        <v>Y</v>
      </c>
      <c r="AH347" s="4">
        <f t="shared" si="120"/>
        <v>9707707.9346495792</v>
      </c>
      <c r="AI347" s="4">
        <f t="shared" si="121"/>
        <v>9537525</v>
      </c>
    </row>
    <row r="348" spans="1:35">
      <c r="A348" s="3">
        <v>346</v>
      </c>
      <c r="B348" s="3" t="s">
        <v>1009</v>
      </c>
      <c r="C348" s="3" t="s">
        <v>667</v>
      </c>
      <c r="D348" s="4">
        <v>14600</v>
      </c>
      <c r="E348" s="4">
        <v>191802152.54400638</v>
      </c>
      <c r="F348" s="4">
        <v>0</v>
      </c>
      <c r="G348" s="4">
        <v>0</v>
      </c>
      <c r="H348" s="4">
        <f t="shared" si="105"/>
        <v>191802152.54400638</v>
      </c>
      <c r="I348" s="4">
        <f t="shared" si="106"/>
        <v>13137.133735890848</v>
      </c>
      <c r="J348" s="4">
        <v>14489.3</v>
      </c>
      <c r="K348" s="5">
        <f t="shared" si="107"/>
        <v>14489.3</v>
      </c>
      <c r="L348" s="4">
        <v>8050.0000000000009</v>
      </c>
      <c r="M348" s="4">
        <f t="shared" si="103"/>
        <v>118093145.70456314</v>
      </c>
      <c r="N348" s="4">
        <f t="shared" si="108"/>
        <v>-73709006.839443237</v>
      </c>
      <c r="O348" s="4">
        <f t="shared" si="109"/>
        <v>0</v>
      </c>
      <c r="P348" s="4">
        <f t="shared" si="110"/>
        <v>-73709006.839443237</v>
      </c>
      <c r="T348" s="4">
        <f t="shared" si="122"/>
        <v>13137.133735890848</v>
      </c>
      <c r="U348" s="4">
        <f t="shared" si="111"/>
        <v>-73709006.839443237</v>
      </c>
      <c r="V348" s="4">
        <f t="shared" si="112"/>
        <v>0</v>
      </c>
      <c r="W348" s="4">
        <f t="shared" si="113"/>
        <v>-73709006.839443237</v>
      </c>
      <c r="X348" s="5">
        <f t="shared" si="114"/>
        <v>118093145.70456314</v>
      </c>
      <c r="Y348" s="5">
        <f t="shared" si="115"/>
        <v>0</v>
      </c>
      <c r="Z348" s="5">
        <f t="shared" si="115"/>
        <v>0</v>
      </c>
      <c r="AB348" s="5">
        <f t="shared" si="104"/>
        <v>110.70000000000073</v>
      </c>
      <c r="AC348" s="4">
        <f t="shared" si="116"/>
        <v>1454280.7045631264</v>
      </c>
      <c r="AD348" s="4">
        <f t="shared" si="117"/>
        <v>891135.00000000594</v>
      </c>
      <c r="AE348" s="5">
        <f t="shared" si="118"/>
        <v>563145.7045631205</v>
      </c>
      <c r="AF348" s="3" t="str">
        <f t="shared" si="119"/>
        <v>Y</v>
      </c>
      <c r="AH348" s="4">
        <f t="shared" si="120"/>
        <v>190347871.83944324</v>
      </c>
      <c r="AI348" s="4">
        <f t="shared" si="121"/>
        <v>116638865</v>
      </c>
    </row>
    <row r="349" spans="1:35">
      <c r="A349" s="3">
        <v>347</v>
      </c>
      <c r="B349" s="3" t="s">
        <v>1010</v>
      </c>
      <c r="C349" s="3" t="s">
        <v>667</v>
      </c>
      <c r="D349" s="4">
        <v>8500</v>
      </c>
      <c r="E349" s="4">
        <v>241070597.72917026</v>
      </c>
      <c r="F349" s="4">
        <v>0</v>
      </c>
      <c r="G349" s="4">
        <v>0</v>
      </c>
      <c r="H349" s="4">
        <f t="shared" si="105"/>
        <v>241070597.72917026</v>
      </c>
      <c r="I349" s="4">
        <f t="shared" si="106"/>
        <v>28361.24679166709</v>
      </c>
      <c r="J349" s="4">
        <v>8461.2999999999993</v>
      </c>
      <c r="K349" s="5">
        <f t="shared" si="107"/>
        <v>8461.2999999999993</v>
      </c>
      <c r="L349" s="4">
        <v>23300</v>
      </c>
      <c r="M349" s="4">
        <f t="shared" si="103"/>
        <v>198245870.2508375</v>
      </c>
      <c r="N349" s="4">
        <f t="shared" si="108"/>
        <v>-42824727.47833275</v>
      </c>
      <c r="O349" s="4">
        <f t="shared" si="109"/>
        <v>0</v>
      </c>
      <c r="P349" s="4">
        <f t="shared" si="110"/>
        <v>-42824727.47833275</v>
      </c>
      <c r="T349" s="4">
        <f t="shared" si="122"/>
        <v>28361.24679166709</v>
      </c>
      <c r="U349" s="4">
        <f t="shared" si="111"/>
        <v>-42824727.47833275</v>
      </c>
      <c r="V349" s="4">
        <f t="shared" si="112"/>
        <v>0</v>
      </c>
      <c r="W349" s="4">
        <f t="shared" si="113"/>
        <v>-42824727.47833275</v>
      </c>
      <c r="X349" s="5">
        <f t="shared" si="114"/>
        <v>198245870.2508375</v>
      </c>
      <c r="Y349" s="5">
        <f t="shared" si="115"/>
        <v>0</v>
      </c>
      <c r="Z349" s="5">
        <f t="shared" si="115"/>
        <v>0</v>
      </c>
      <c r="AB349" s="5">
        <f t="shared" si="104"/>
        <v>38.700000000000728</v>
      </c>
      <c r="AC349" s="4">
        <f t="shared" si="116"/>
        <v>1097580.250837537</v>
      </c>
      <c r="AD349" s="4">
        <f t="shared" si="117"/>
        <v>901710.000000017</v>
      </c>
      <c r="AE349" s="5">
        <f t="shared" si="118"/>
        <v>195870.25083752</v>
      </c>
      <c r="AF349" s="3" t="str">
        <f t="shared" si="119"/>
        <v>Y</v>
      </c>
      <c r="AH349" s="4">
        <f t="shared" si="120"/>
        <v>239973017.47833273</v>
      </c>
      <c r="AI349" s="4">
        <f t="shared" si="121"/>
        <v>197148289.99999997</v>
      </c>
    </row>
    <row r="350" spans="1:35">
      <c r="A350" s="3">
        <v>348</v>
      </c>
      <c r="B350" s="3" t="s">
        <v>1011</v>
      </c>
      <c r="C350" s="3" t="s">
        <v>667</v>
      </c>
      <c r="D350" s="4">
        <v>1065</v>
      </c>
      <c r="E350" s="4">
        <v>29547100.996685743</v>
      </c>
      <c r="F350" s="4">
        <v>0</v>
      </c>
      <c r="G350" s="4">
        <v>0</v>
      </c>
      <c r="H350" s="4">
        <f t="shared" si="105"/>
        <v>29547100.996685743</v>
      </c>
      <c r="I350" s="4">
        <f t="shared" si="106"/>
        <v>27743.75680439976</v>
      </c>
      <c r="J350" s="4">
        <v>963.1</v>
      </c>
      <c r="K350" s="5">
        <f t="shared" si="107"/>
        <v>963.1</v>
      </c>
      <c r="L350" s="4">
        <v>29000</v>
      </c>
      <c r="M350" s="4">
        <f t="shared" si="103"/>
        <v>30756988.818368334</v>
      </c>
      <c r="N350" s="4">
        <f t="shared" si="108"/>
        <v>1209887.8216825912</v>
      </c>
      <c r="O350" s="4">
        <f t="shared" si="109"/>
        <v>1209887.8216825912</v>
      </c>
      <c r="P350" s="4">
        <f t="shared" si="110"/>
        <v>0</v>
      </c>
      <c r="T350" s="4">
        <f t="shared" si="122"/>
        <v>27743.75680439976</v>
      </c>
      <c r="U350" s="4">
        <f t="shared" si="111"/>
        <v>1209887.8216825912</v>
      </c>
      <c r="V350" s="4">
        <f t="shared" si="112"/>
        <v>1209887.8216825912</v>
      </c>
      <c r="W350" s="4">
        <f t="shared" si="113"/>
        <v>0</v>
      </c>
      <c r="X350" s="5">
        <f t="shared" si="114"/>
        <v>30756988.818368334</v>
      </c>
      <c r="Y350" s="5">
        <f t="shared" si="115"/>
        <v>0</v>
      </c>
      <c r="Z350" s="5">
        <f t="shared" si="115"/>
        <v>0</v>
      </c>
      <c r="AB350" s="5">
        <f t="shared" si="104"/>
        <v>101.89999999999998</v>
      </c>
      <c r="AC350" s="4">
        <f t="shared" si="116"/>
        <v>2827088.8183683348</v>
      </c>
      <c r="AD350" s="4">
        <f t="shared" si="117"/>
        <v>2955099.9999999995</v>
      </c>
      <c r="AE350" s="5">
        <f t="shared" si="118"/>
        <v>-128011.18163166475</v>
      </c>
      <c r="AF350" s="3" t="str">
        <f t="shared" si="119"/>
        <v>N</v>
      </c>
      <c r="AH350" s="4">
        <f t="shared" si="120"/>
        <v>26720012.178317409</v>
      </c>
      <c r="AI350" s="4">
        <f t="shared" si="121"/>
        <v>27929900</v>
      </c>
    </row>
    <row r="351" spans="1:35">
      <c r="A351" s="3">
        <v>349</v>
      </c>
      <c r="B351" s="3" t="s">
        <v>1012</v>
      </c>
      <c r="C351" s="3" t="s">
        <v>667</v>
      </c>
      <c r="D351" s="4">
        <v>200</v>
      </c>
      <c r="E351" s="4">
        <v>6873866.3920298051</v>
      </c>
      <c r="F351" s="4">
        <v>0</v>
      </c>
      <c r="G351" s="4">
        <v>0</v>
      </c>
      <c r="H351" s="4">
        <f t="shared" si="105"/>
        <v>6873866.3920298051</v>
      </c>
      <c r="I351" s="4">
        <f t="shared" si="106"/>
        <v>34369.331960149022</v>
      </c>
      <c r="J351" s="4">
        <v>169</v>
      </c>
      <c r="K351" s="5">
        <f t="shared" si="107"/>
        <v>169</v>
      </c>
      <c r="L351" s="4">
        <v>44800</v>
      </c>
      <c r="M351" s="4">
        <f t="shared" si="103"/>
        <v>8636649.2907646205</v>
      </c>
      <c r="N351" s="4">
        <f t="shared" si="108"/>
        <v>1762782.8987348152</v>
      </c>
      <c r="O351" s="4">
        <f t="shared" si="109"/>
        <v>1762782.8987348152</v>
      </c>
      <c r="P351" s="4">
        <f t="shared" si="110"/>
        <v>0</v>
      </c>
      <c r="T351" s="4">
        <f t="shared" si="122"/>
        <v>34369.331960149022</v>
      </c>
      <c r="U351" s="4">
        <f t="shared" si="111"/>
        <v>1762782.8987348152</v>
      </c>
      <c r="V351" s="4">
        <f t="shared" si="112"/>
        <v>1762782.8987348152</v>
      </c>
      <c r="W351" s="4">
        <f t="shared" si="113"/>
        <v>0</v>
      </c>
      <c r="X351" s="5">
        <f t="shared" si="114"/>
        <v>8636649.2907646205</v>
      </c>
      <c r="Y351" s="5">
        <f t="shared" si="115"/>
        <v>0</v>
      </c>
      <c r="Z351" s="5">
        <f t="shared" si="115"/>
        <v>0</v>
      </c>
      <c r="AB351" s="5">
        <f t="shared" si="104"/>
        <v>31</v>
      </c>
      <c r="AC351" s="4">
        <f t="shared" si="116"/>
        <v>1065449.2907646196</v>
      </c>
      <c r="AD351" s="4">
        <f t="shared" si="117"/>
        <v>1388800</v>
      </c>
      <c r="AE351" s="5">
        <f t="shared" si="118"/>
        <v>-323350.7092353804</v>
      </c>
      <c r="AF351" s="3" t="str">
        <f t="shared" si="119"/>
        <v>N</v>
      </c>
      <c r="AH351" s="4">
        <f t="shared" si="120"/>
        <v>5808417.1012651846</v>
      </c>
      <c r="AI351" s="4">
        <f t="shared" si="121"/>
        <v>7571200</v>
      </c>
    </row>
    <row r="352" spans="1:35">
      <c r="A352" s="3">
        <v>350</v>
      </c>
      <c r="B352" s="3" t="s">
        <v>1013</v>
      </c>
      <c r="C352" s="3" t="s">
        <v>667</v>
      </c>
      <c r="D352" s="4">
        <v>400</v>
      </c>
      <c r="E352" s="4">
        <v>5236740.2257959396</v>
      </c>
      <c r="F352" s="4">
        <v>0</v>
      </c>
      <c r="G352" s="4">
        <v>0</v>
      </c>
      <c r="H352" s="4">
        <f t="shared" si="105"/>
        <v>5236740.2257959396</v>
      </c>
      <c r="I352" s="4">
        <f t="shared" si="106"/>
        <v>13091.850564489849</v>
      </c>
      <c r="J352" s="4">
        <v>346</v>
      </c>
      <c r="K352" s="5">
        <f t="shared" si="107"/>
        <v>346</v>
      </c>
      <c r="L352" s="4">
        <v>14300</v>
      </c>
      <c r="M352" s="4">
        <f t="shared" si="103"/>
        <v>5654759.9304824518</v>
      </c>
      <c r="N352" s="4">
        <f t="shared" si="108"/>
        <v>418019.70468651236</v>
      </c>
      <c r="O352" s="4">
        <f t="shared" si="109"/>
        <v>418019.70468651236</v>
      </c>
      <c r="P352" s="4">
        <f t="shared" si="110"/>
        <v>0</v>
      </c>
      <c r="T352" s="4">
        <f t="shared" si="122"/>
        <v>13091.850564489849</v>
      </c>
      <c r="U352" s="4">
        <f t="shared" si="111"/>
        <v>418019.70468651236</v>
      </c>
      <c r="V352" s="4">
        <f t="shared" si="112"/>
        <v>418019.70468651236</v>
      </c>
      <c r="W352" s="4">
        <f t="shared" si="113"/>
        <v>0</v>
      </c>
      <c r="X352" s="5">
        <f t="shared" si="114"/>
        <v>5654759.9304824518</v>
      </c>
      <c r="Y352" s="5">
        <f t="shared" si="115"/>
        <v>0</v>
      </c>
      <c r="Z352" s="5">
        <f t="shared" si="115"/>
        <v>0</v>
      </c>
      <c r="AB352" s="5">
        <f t="shared" si="104"/>
        <v>54</v>
      </c>
      <c r="AC352" s="4">
        <f t="shared" si="116"/>
        <v>706959.9304824518</v>
      </c>
      <c r="AD352" s="4">
        <f t="shared" si="117"/>
        <v>772200</v>
      </c>
      <c r="AE352" s="5">
        <f t="shared" si="118"/>
        <v>-65240.069517548196</v>
      </c>
      <c r="AF352" s="3" t="str">
        <f t="shared" si="119"/>
        <v>N</v>
      </c>
      <c r="AH352" s="4">
        <f t="shared" si="120"/>
        <v>4529780.2953134878</v>
      </c>
      <c r="AI352" s="4">
        <f t="shared" si="121"/>
        <v>4947800</v>
      </c>
    </row>
    <row r="353" spans="1:35">
      <c r="A353" s="3">
        <v>351</v>
      </c>
      <c r="B353" s="3" t="s">
        <v>1014</v>
      </c>
      <c r="C353" s="3" t="s">
        <v>667</v>
      </c>
      <c r="D353" s="4">
        <v>4100</v>
      </c>
      <c r="E353" s="4">
        <v>38330016.213302374</v>
      </c>
      <c r="F353" s="4">
        <v>0</v>
      </c>
      <c r="G353" s="4">
        <v>0</v>
      </c>
      <c r="H353" s="4">
        <f t="shared" si="105"/>
        <v>38330016.213302374</v>
      </c>
      <c r="I353" s="4">
        <f t="shared" si="106"/>
        <v>9348.7844422688722</v>
      </c>
      <c r="J353" s="4">
        <v>4046.5</v>
      </c>
      <c r="K353" s="5">
        <f t="shared" si="107"/>
        <v>4046.5</v>
      </c>
      <c r="L353" s="4">
        <v>9500</v>
      </c>
      <c r="M353" s="4">
        <f t="shared" si="103"/>
        <v>38941909.967661381</v>
      </c>
      <c r="N353" s="4">
        <f t="shared" si="108"/>
        <v>611893.75435900851</v>
      </c>
      <c r="O353" s="4">
        <f t="shared" si="109"/>
        <v>611893.75435900851</v>
      </c>
      <c r="P353" s="4">
        <f t="shared" si="110"/>
        <v>0</v>
      </c>
      <c r="T353" s="4">
        <f t="shared" si="122"/>
        <v>9348.7844422688722</v>
      </c>
      <c r="U353" s="4">
        <f t="shared" si="111"/>
        <v>611893.75435900851</v>
      </c>
      <c r="V353" s="4">
        <f t="shared" si="112"/>
        <v>611893.75435900851</v>
      </c>
      <c r="W353" s="4">
        <f t="shared" si="113"/>
        <v>0</v>
      </c>
      <c r="X353" s="5">
        <f t="shared" si="114"/>
        <v>38941909.967661381</v>
      </c>
      <c r="Y353" s="5">
        <f t="shared" si="115"/>
        <v>0</v>
      </c>
      <c r="Z353" s="5">
        <f t="shared" si="115"/>
        <v>0</v>
      </c>
      <c r="AB353" s="5">
        <f t="shared" si="104"/>
        <v>53.5</v>
      </c>
      <c r="AC353" s="4">
        <f t="shared" si="116"/>
        <v>500159.96766138467</v>
      </c>
      <c r="AD353" s="4">
        <f t="shared" si="117"/>
        <v>508250</v>
      </c>
      <c r="AE353" s="5">
        <f t="shared" si="118"/>
        <v>-8090.0323386153323</v>
      </c>
      <c r="AF353" s="3" t="str">
        <f t="shared" si="119"/>
        <v>N</v>
      </c>
      <c r="AH353" s="4">
        <f t="shared" si="120"/>
        <v>37829856.245640993</v>
      </c>
      <c r="AI353" s="4">
        <f t="shared" si="121"/>
        <v>38441750</v>
      </c>
    </row>
    <row r="354" spans="1:35">
      <c r="A354" s="3">
        <v>352</v>
      </c>
      <c r="B354" s="3" t="s">
        <v>1015</v>
      </c>
      <c r="C354" s="3" t="s">
        <v>667</v>
      </c>
      <c r="D354" s="4">
        <v>1000</v>
      </c>
      <c r="E354" s="4">
        <v>6938966.1629599622</v>
      </c>
      <c r="F354" s="4">
        <v>0</v>
      </c>
      <c r="G354" s="4">
        <v>0</v>
      </c>
      <c r="H354" s="4">
        <f t="shared" si="105"/>
        <v>6938966.1629599622</v>
      </c>
      <c r="I354" s="4">
        <f t="shared" si="106"/>
        <v>6938.9661629599623</v>
      </c>
      <c r="J354" s="4">
        <v>941.1</v>
      </c>
      <c r="K354" s="5">
        <f t="shared" si="107"/>
        <v>941.1</v>
      </c>
      <c r="L354" s="4">
        <v>8750</v>
      </c>
      <c r="M354" s="4">
        <f t="shared" si="103"/>
        <v>8643330.1069983412</v>
      </c>
      <c r="N354" s="4">
        <f t="shared" si="108"/>
        <v>1704363.9440383795</v>
      </c>
      <c r="O354" s="4">
        <f t="shared" si="109"/>
        <v>1704363.9440383795</v>
      </c>
      <c r="P354" s="4">
        <f t="shared" si="110"/>
        <v>0</v>
      </c>
      <c r="T354" s="4">
        <f t="shared" si="122"/>
        <v>6938.9661629599623</v>
      </c>
      <c r="U354" s="4">
        <f t="shared" si="111"/>
        <v>1704363.9440383795</v>
      </c>
      <c r="V354" s="4">
        <f t="shared" si="112"/>
        <v>1704363.9440383795</v>
      </c>
      <c r="W354" s="4">
        <f t="shared" si="113"/>
        <v>0</v>
      </c>
      <c r="X354" s="5">
        <f t="shared" si="114"/>
        <v>8643330.1069983412</v>
      </c>
      <c r="Y354" s="5">
        <f t="shared" si="115"/>
        <v>0</v>
      </c>
      <c r="Z354" s="5">
        <f t="shared" si="115"/>
        <v>0</v>
      </c>
      <c r="AB354" s="5">
        <f t="shared" si="104"/>
        <v>58.899999999999977</v>
      </c>
      <c r="AC354" s="4">
        <f t="shared" si="116"/>
        <v>408705.10699834162</v>
      </c>
      <c r="AD354" s="4">
        <f t="shared" si="117"/>
        <v>515374.99999999983</v>
      </c>
      <c r="AE354" s="5">
        <f t="shared" si="118"/>
        <v>-106669.8930016582</v>
      </c>
      <c r="AF354" s="3" t="str">
        <f t="shared" si="119"/>
        <v>N</v>
      </c>
      <c r="AH354" s="4">
        <f t="shared" si="120"/>
        <v>6530261.055961621</v>
      </c>
      <c r="AI354" s="4">
        <f t="shared" si="121"/>
        <v>8234625</v>
      </c>
    </row>
    <row r="355" spans="1:35">
      <c r="A355" s="3">
        <v>353</v>
      </c>
      <c r="B355" s="3" t="s">
        <v>1016</v>
      </c>
      <c r="C355" s="3" t="s">
        <v>667</v>
      </c>
      <c r="D355" s="4">
        <v>4477</v>
      </c>
      <c r="E355" s="4">
        <v>27543134.163681462</v>
      </c>
      <c r="F355" s="4">
        <v>0</v>
      </c>
      <c r="G355" s="4">
        <v>0</v>
      </c>
      <c r="H355" s="4">
        <f t="shared" si="105"/>
        <v>27543134.163681462</v>
      </c>
      <c r="I355" s="4">
        <f t="shared" si="106"/>
        <v>6152.1407557921511</v>
      </c>
      <c r="J355" s="4">
        <v>4315.3</v>
      </c>
      <c r="K355" s="5">
        <f t="shared" si="107"/>
        <v>4315.3</v>
      </c>
      <c r="L355" s="4">
        <v>12050</v>
      </c>
      <c r="M355" s="4">
        <f t="shared" si="103"/>
        <v>52994166.160211593</v>
      </c>
      <c r="N355" s="4">
        <f t="shared" si="108"/>
        <v>25451031.996530131</v>
      </c>
      <c r="O355" s="4">
        <f t="shared" si="109"/>
        <v>25451031.996530131</v>
      </c>
      <c r="P355" s="4">
        <f t="shared" si="110"/>
        <v>0</v>
      </c>
      <c r="T355" s="4">
        <f t="shared" si="122"/>
        <v>6152.1407557921511</v>
      </c>
      <c r="U355" s="4">
        <f t="shared" si="111"/>
        <v>25451031.996530131</v>
      </c>
      <c r="V355" s="4">
        <f t="shared" si="112"/>
        <v>25451031.996530131</v>
      </c>
      <c r="W355" s="4">
        <f t="shared" si="113"/>
        <v>0</v>
      </c>
      <c r="X355" s="5">
        <f t="shared" si="114"/>
        <v>52994166.160211593</v>
      </c>
      <c r="Y355" s="5">
        <f t="shared" si="115"/>
        <v>0</v>
      </c>
      <c r="Z355" s="5">
        <f t="shared" si="115"/>
        <v>0</v>
      </c>
      <c r="AB355" s="5">
        <f t="shared" si="104"/>
        <v>161.69999999999982</v>
      </c>
      <c r="AC355" s="4">
        <f t="shared" si="116"/>
        <v>994801.16021158977</v>
      </c>
      <c r="AD355" s="4">
        <f t="shared" si="117"/>
        <v>1948484.9999999979</v>
      </c>
      <c r="AE355" s="5">
        <f t="shared" si="118"/>
        <v>-953683.83978840814</v>
      </c>
      <c r="AF355" s="3" t="str">
        <f t="shared" si="119"/>
        <v>N</v>
      </c>
      <c r="AH355" s="4">
        <f t="shared" si="120"/>
        <v>26548333.003469869</v>
      </c>
      <c r="AI355" s="4">
        <f t="shared" si="121"/>
        <v>51999365</v>
      </c>
    </row>
    <row r="356" spans="1:35">
      <c r="A356" s="3">
        <v>354</v>
      </c>
      <c r="B356" s="3" t="s">
        <v>13</v>
      </c>
      <c r="C356" s="3" t="s">
        <v>14</v>
      </c>
      <c r="D356" s="4">
        <v>125000</v>
      </c>
      <c r="E356" s="4">
        <v>12500000000</v>
      </c>
      <c r="F356" s="4">
        <v>0</v>
      </c>
      <c r="G356" s="4">
        <v>0</v>
      </c>
      <c r="H356" s="5">
        <f>E356</f>
        <v>12500000000</v>
      </c>
      <c r="I356" s="4">
        <f>H356/D356</f>
        <v>100000</v>
      </c>
      <c r="J356" s="4">
        <v>0</v>
      </c>
      <c r="K356" s="4">
        <f t="shared" si="107"/>
        <v>0</v>
      </c>
      <c r="L356" s="3">
        <v>0</v>
      </c>
      <c r="M356" s="5">
        <f>H356</f>
        <v>12500000000</v>
      </c>
      <c r="N356" s="4">
        <f t="shared" si="108"/>
        <v>0</v>
      </c>
      <c r="O356" s="4">
        <f t="shared" si="109"/>
        <v>0</v>
      </c>
      <c r="P356" s="4">
        <f t="shared" si="110"/>
        <v>0</v>
      </c>
      <c r="T356" s="4">
        <f t="shared" si="122"/>
        <v>100000</v>
      </c>
      <c r="U356" s="4">
        <f t="shared" si="111"/>
        <v>0</v>
      </c>
      <c r="V356" s="4">
        <f t="shared" si="112"/>
        <v>0</v>
      </c>
      <c r="W356" s="4">
        <f t="shared" si="113"/>
        <v>0</v>
      </c>
      <c r="X356" s="5">
        <f>M356</f>
        <v>12500000000</v>
      </c>
      <c r="Y356" s="4">
        <f t="shared" si="115"/>
        <v>0</v>
      </c>
      <c r="Z356" s="4">
        <f t="shared" si="115"/>
        <v>0</v>
      </c>
      <c r="AB356" s="5">
        <f t="shared" si="104"/>
        <v>125000</v>
      </c>
      <c r="AC356" s="3">
        <f t="shared" si="116"/>
        <v>12500000000</v>
      </c>
      <c r="AD356" s="4">
        <f t="shared" si="117"/>
        <v>0</v>
      </c>
      <c r="AE356" s="5">
        <f t="shared" si="118"/>
        <v>12500000000</v>
      </c>
      <c r="AF356" s="3" t="str">
        <f t="shared" si="119"/>
        <v>Y</v>
      </c>
      <c r="AH356" s="4">
        <f t="shared" ref="AH356:AH402" si="123">J356*T356</f>
        <v>0</v>
      </c>
      <c r="AI356" s="4">
        <f t="shared" ref="AI356:AI402" si="124">J356*L356</f>
        <v>0</v>
      </c>
    </row>
    <row r="357" spans="1:35">
      <c r="A357" s="3">
        <v>355</v>
      </c>
      <c r="B357" s="3" t="s">
        <v>16</v>
      </c>
      <c r="C357" s="3" t="s">
        <v>14</v>
      </c>
      <c r="D357" s="4">
        <v>1000000</v>
      </c>
      <c r="E357" s="4">
        <v>100860500000</v>
      </c>
      <c r="F357" s="4">
        <v>0</v>
      </c>
      <c r="G357" s="4">
        <v>0</v>
      </c>
      <c r="H357" s="5">
        <f t="shared" ref="H357:H367" si="125">E357</f>
        <v>100860500000</v>
      </c>
      <c r="I357" s="4">
        <f t="shared" ref="I357:I402" si="126">H357/D357</f>
        <v>100860.5</v>
      </c>
      <c r="J357" s="4">
        <v>0</v>
      </c>
      <c r="K357" s="4">
        <f t="shared" si="107"/>
        <v>0</v>
      </c>
      <c r="L357" s="3">
        <v>0</v>
      </c>
      <c r="M357" s="5">
        <f t="shared" ref="M357:M402" si="127">H357</f>
        <v>100860500000</v>
      </c>
      <c r="N357" s="4">
        <v>0</v>
      </c>
      <c r="O357" s="4">
        <v>0</v>
      </c>
      <c r="P357" s="4">
        <v>0</v>
      </c>
      <c r="T357" s="4">
        <f t="shared" si="122"/>
        <v>100860.5</v>
      </c>
      <c r="U357" s="4">
        <f t="shared" si="111"/>
        <v>0</v>
      </c>
      <c r="V357" s="4">
        <f t="shared" si="112"/>
        <v>0</v>
      </c>
      <c r="W357" s="4">
        <f t="shared" si="113"/>
        <v>0</v>
      </c>
      <c r="X357" s="5">
        <f t="shared" ref="X357:X367" si="128">M357</f>
        <v>100860500000</v>
      </c>
      <c r="Y357" s="4">
        <f t="shared" ref="Y357:Z393" si="129">O357-V357</f>
        <v>0</v>
      </c>
      <c r="Z357" s="4">
        <f t="shared" si="129"/>
        <v>0</v>
      </c>
      <c r="AB357" s="5">
        <f t="shared" si="104"/>
        <v>1000000</v>
      </c>
      <c r="AC357" s="3">
        <f t="shared" si="116"/>
        <v>100860500000</v>
      </c>
      <c r="AD357" s="4">
        <f t="shared" si="117"/>
        <v>0</v>
      </c>
      <c r="AE357" s="5">
        <f t="shared" si="118"/>
        <v>100860500000</v>
      </c>
      <c r="AF357" s="3" t="str">
        <f t="shared" si="119"/>
        <v>Y</v>
      </c>
      <c r="AH357" s="4">
        <f t="shared" si="123"/>
        <v>0</v>
      </c>
      <c r="AI357" s="4">
        <f t="shared" si="124"/>
        <v>0</v>
      </c>
    </row>
    <row r="358" spans="1:35">
      <c r="A358" s="3">
        <v>356</v>
      </c>
      <c r="B358" s="3" t="s">
        <v>18</v>
      </c>
      <c r="C358" s="3" t="s">
        <v>14</v>
      </c>
      <c r="D358" s="4">
        <v>2000</v>
      </c>
      <c r="E358" s="4">
        <v>20000000000</v>
      </c>
      <c r="F358" s="4">
        <v>0</v>
      </c>
      <c r="G358" s="4">
        <v>0</v>
      </c>
      <c r="H358" s="5">
        <f t="shared" si="125"/>
        <v>20000000000</v>
      </c>
      <c r="I358" s="4">
        <f t="shared" si="126"/>
        <v>10000000</v>
      </c>
      <c r="J358" s="4">
        <v>0</v>
      </c>
      <c r="K358" s="4">
        <f t="shared" si="107"/>
        <v>0</v>
      </c>
      <c r="L358" s="3">
        <v>0</v>
      </c>
      <c r="M358" s="5">
        <f t="shared" si="127"/>
        <v>20000000000</v>
      </c>
      <c r="N358" s="4">
        <v>0</v>
      </c>
      <c r="O358" s="4">
        <v>0</v>
      </c>
      <c r="P358" s="4">
        <v>0</v>
      </c>
      <c r="T358" s="4">
        <f t="shared" si="122"/>
        <v>10000000</v>
      </c>
      <c r="U358" s="4">
        <f t="shared" si="111"/>
        <v>0</v>
      </c>
      <c r="V358" s="4">
        <f t="shared" si="112"/>
        <v>0</v>
      </c>
      <c r="W358" s="4">
        <f t="shared" si="113"/>
        <v>0</v>
      </c>
      <c r="X358" s="5">
        <f t="shared" si="128"/>
        <v>20000000000</v>
      </c>
      <c r="Y358" s="4">
        <f t="shared" si="129"/>
        <v>0</v>
      </c>
      <c r="Z358" s="4">
        <f t="shared" si="129"/>
        <v>0</v>
      </c>
      <c r="AB358" s="5">
        <f t="shared" si="104"/>
        <v>2000</v>
      </c>
      <c r="AC358" s="3">
        <f t="shared" si="116"/>
        <v>20000000000</v>
      </c>
      <c r="AD358" s="4">
        <f t="shared" si="117"/>
        <v>0</v>
      </c>
      <c r="AE358" s="5">
        <f t="shared" si="118"/>
        <v>20000000000</v>
      </c>
      <c r="AF358" s="3" t="str">
        <f t="shared" si="119"/>
        <v>Y</v>
      </c>
      <c r="AH358" s="4">
        <f t="shared" si="123"/>
        <v>0</v>
      </c>
      <c r="AI358" s="4">
        <f t="shared" si="124"/>
        <v>0</v>
      </c>
    </row>
    <row r="359" spans="1:35">
      <c r="A359" s="3">
        <v>357</v>
      </c>
      <c r="B359" s="3" t="s">
        <v>19</v>
      </c>
      <c r="C359" s="3" t="s">
        <v>14</v>
      </c>
      <c r="D359" s="4">
        <v>3000</v>
      </c>
      <c r="E359" s="4">
        <v>30000000000</v>
      </c>
      <c r="F359" s="4">
        <v>0</v>
      </c>
      <c r="G359" s="4">
        <v>0</v>
      </c>
      <c r="H359" s="5">
        <f t="shared" si="125"/>
        <v>30000000000</v>
      </c>
      <c r="I359" s="4">
        <f t="shared" si="126"/>
        <v>10000000</v>
      </c>
      <c r="J359" s="4">
        <v>0</v>
      </c>
      <c r="K359" s="4">
        <f t="shared" si="107"/>
        <v>0</v>
      </c>
      <c r="L359" s="3">
        <v>0</v>
      </c>
      <c r="M359" s="5">
        <f t="shared" si="127"/>
        <v>30000000000</v>
      </c>
      <c r="N359" s="4">
        <v>0</v>
      </c>
      <c r="O359" s="4">
        <v>0</v>
      </c>
      <c r="P359" s="4">
        <v>0</v>
      </c>
      <c r="T359" s="4">
        <f t="shared" si="122"/>
        <v>10000000</v>
      </c>
      <c r="U359" s="4">
        <f t="shared" si="111"/>
        <v>0</v>
      </c>
      <c r="V359" s="4">
        <f t="shared" si="112"/>
        <v>0</v>
      </c>
      <c r="W359" s="4">
        <f t="shared" si="113"/>
        <v>0</v>
      </c>
      <c r="X359" s="5">
        <f t="shared" si="128"/>
        <v>30000000000</v>
      </c>
      <c r="Y359" s="4">
        <f t="shared" si="129"/>
        <v>0</v>
      </c>
      <c r="Z359" s="4">
        <f t="shared" si="129"/>
        <v>0</v>
      </c>
      <c r="AB359" s="5">
        <f t="shared" si="104"/>
        <v>3000</v>
      </c>
      <c r="AC359" s="3">
        <f t="shared" si="116"/>
        <v>30000000000</v>
      </c>
      <c r="AD359" s="4">
        <f t="shared" si="117"/>
        <v>0</v>
      </c>
      <c r="AE359" s="5">
        <f t="shared" si="118"/>
        <v>30000000000</v>
      </c>
      <c r="AF359" s="3" t="str">
        <f t="shared" si="119"/>
        <v>Y</v>
      </c>
      <c r="AH359" s="4">
        <f t="shared" si="123"/>
        <v>0</v>
      </c>
      <c r="AI359" s="4">
        <f t="shared" si="124"/>
        <v>0</v>
      </c>
    </row>
    <row r="360" spans="1:35">
      <c r="A360" s="3">
        <v>358</v>
      </c>
      <c r="B360" s="3" t="s">
        <v>20</v>
      </c>
      <c r="C360" s="3" t="s">
        <v>14</v>
      </c>
      <c r="D360" s="4">
        <v>58996</v>
      </c>
      <c r="E360" s="4">
        <v>5899600000</v>
      </c>
      <c r="F360" s="4">
        <v>0</v>
      </c>
      <c r="G360" s="4">
        <v>0</v>
      </c>
      <c r="H360" s="5">
        <f t="shared" si="125"/>
        <v>5899600000</v>
      </c>
      <c r="I360" s="4">
        <f t="shared" si="126"/>
        <v>100000</v>
      </c>
      <c r="J360" s="4">
        <v>0</v>
      </c>
      <c r="K360" s="4">
        <f t="shared" si="107"/>
        <v>0</v>
      </c>
      <c r="L360" s="3">
        <v>0</v>
      </c>
      <c r="M360" s="5">
        <f t="shared" si="127"/>
        <v>5899600000</v>
      </c>
      <c r="N360" s="4">
        <v>0</v>
      </c>
      <c r="O360" s="4">
        <v>0</v>
      </c>
      <c r="P360" s="4">
        <v>0</v>
      </c>
      <c r="T360" s="4">
        <f t="shared" si="122"/>
        <v>100000</v>
      </c>
      <c r="U360" s="4">
        <f t="shared" si="111"/>
        <v>0</v>
      </c>
      <c r="V360" s="4">
        <f t="shared" si="112"/>
        <v>0</v>
      </c>
      <c r="W360" s="4">
        <f t="shared" si="113"/>
        <v>0</v>
      </c>
      <c r="X360" s="5">
        <f t="shared" si="128"/>
        <v>5899600000</v>
      </c>
      <c r="Y360" s="4">
        <f t="shared" si="129"/>
        <v>0</v>
      </c>
      <c r="Z360" s="4">
        <f t="shared" si="129"/>
        <v>0</v>
      </c>
      <c r="AB360" s="5">
        <f t="shared" si="104"/>
        <v>58996</v>
      </c>
      <c r="AC360" s="3">
        <f t="shared" si="116"/>
        <v>5899600000</v>
      </c>
      <c r="AD360" s="4">
        <f t="shared" si="117"/>
        <v>0</v>
      </c>
      <c r="AE360" s="5">
        <f t="shared" si="118"/>
        <v>5899600000</v>
      </c>
      <c r="AF360" s="3" t="str">
        <f t="shared" si="119"/>
        <v>Y</v>
      </c>
      <c r="AH360" s="4">
        <f t="shared" si="123"/>
        <v>0</v>
      </c>
      <c r="AI360" s="4">
        <f t="shared" si="124"/>
        <v>0</v>
      </c>
    </row>
    <row r="361" spans="1:35">
      <c r="A361" s="3">
        <v>359</v>
      </c>
      <c r="B361" s="3" t="s">
        <v>21</v>
      </c>
      <c r="C361" s="3" t="s">
        <v>14</v>
      </c>
      <c r="D361" s="4">
        <v>50000</v>
      </c>
      <c r="E361" s="4">
        <v>5000000000</v>
      </c>
      <c r="F361" s="4">
        <v>0</v>
      </c>
      <c r="G361" s="4">
        <v>0</v>
      </c>
      <c r="H361" s="5">
        <f t="shared" si="125"/>
        <v>5000000000</v>
      </c>
      <c r="I361" s="4">
        <f t="shared" si="126"/>
        <v>100000</v>
      </c>
      <c r="J361" s="4">
        <v>0</v>
      </c>
      <c r="K361" s="4">
        <f t="shared" si="107"/>
        <v>0</v>
      </c>
      <c r="L361" s="3">
        <v>0</v>
      </c>
      <c r="M361" s="5">
        <f t="shared" si="127"/>
        <v>5000000000</v>
      </c>
      <c r="N361" s="4">
        <v>0</v>
      </c>
      <c r="O361" s="4">
        <v>0</v>
      </c>
      <c r="P361" s="4">
        <v>0</v>
      </c>
      <c r="T361" s="4">
        <f t="shared" si="122"/>
        <v>100000</v>
      </c>
      <c r="U361" s="4">
        <f t="shared" si="111"/>
        <v>0</v>
      </c>
      <c r="V361" s="4">
        <f t="shared" si="112"/>
        <v>0</v>
      </c>
      <c r="W361" s="4">
        <f t="shared" si="113"/>
        <v>0</v>
      </c>
      <c r="X361" s="5">
        <f t="shared" si="128"/>
        <v>5000000000</v>
      </c>
      <c r="Y361" s="4">
        <f t="shared" si="129"/>
        <v>0</v>
      </c>
      <c r="Z361" s="4">
        <f t="shared" si="129"/>
        <v>0</v>
      </c>
      <c r="AB361" s="5">
        <f t="shared" si="104"/>
        <v>50000</v>
      </c>
      <c r="AC361" s="3">
        <f t="shared" si="116"/>
        <v>5000000000</v>
      </c>
      <c r="AD361" s="4">
        <f t="shared" si="117"/>
        <v>0</v>
      </c>
      <c r="AE361" s="5">
        <f t="shared" si="118"/>
        <v>5000000000</v>
      </c>
      <c r="AF361" s="3" t="str">
        <f t="shared" si="119"/>
        <v>Y</v>
      </c>
      <c r="AH361" s="4">
        <f t="shared" si="123"/>
        <v>0</v>
      </c>
      <c r="AI361" s="4">
        <f t="shared" si="124"/>
        <v>0</v>
      </c>
    </row>
    <row r="362" spans="1:35">
      <c r="A362" s="3">
        <v>360</v>
      </c>
      <c r="B362" s="3" t="s">
        <v>23</v>
      </c>
      <c r="C362" s="3" t="s">
        <v>14</v>
      </c>
      <c r="D362" s="4">
        <v>40000</v>
      </c>
      <c r="E362" s="4">
        <v>4000000000</v>
      </c>
      <c r="F362" s="4">
        <v>0</v>
      </c>
      <c r="G362" s="4">
        <v>0</v>
      </c>
      <c r="H362" s="5">
        <f t="shared" si="125"/>
        <v>4000000000</v>
      </c>
      <c r="I362" s="4">
        <f t="shared" si="126"/>
        <v>100000</v>
      </c>
      <c r="J362" s="4">
        <v>0</v>
      </c>
      <c r="K362" s="4">
        <f t="shared" si="107"/>
        <v>0</v>
      </c>
      <c r="L362" s="3">
        <v>0</v>
      </c>
      <c r="M362" s="5">
        <f t="shared" si="127"/>
        <v>4000000000</v>
      </c>
      <c r="N362" s="4">
        <v>0</v>
      </c>
      <c r="O362" s="4">
        <v>0</v>
      </c>
      <c r="P362" s="4">
        <v>0</v>
      </c>
      <c r="T362" s="4">
        <f t="shared" si="122"/>
        <v>100000</v>
      </c>
      <c r="U362" s="4">
        <f t="shared" si="111"/>
        <v>0</v>
      </c>
      <c r="V362" s="4">
        <f t="shared" si="112"/>
        <v>0</v>
      </c>
      <c r="W362" s="4">
        <f t="shared" si="113"/>
        <v>0</v>
      </c>
      <c r="X362" s="5">
        <f t="shared" si="128"/>
        <v>4000000000</v>
      </c>
      <c r="Y362" s="4">
        <f t="shared" si="129"/>
        <v>0</v>
      </c>
      <c r="Z362" s="4">
        <f t="shared" si="129"/>
        <v>0</v>
      </c>
      <c r="AB362" s="5">
        <f t="shared" si="104"/>
        <v>40000</v>
      </c>
      <c r="AC362" s="3">
        <f t="shared" si="116"/>
        <v>4000000000</v>
      </c>
      <c r="AD362" s="4">
        <f t="shared" si="117"/>
        <v>0</v>
      </c>
      <c r="AE362" s="5">
        <f t="shared" si="118"/>
        <v>4000000000</v>
      </c>
      <c r="AF362" s="3" t="str">
        <f t="shared" si="119"/>
        <v>Y</v>
      </c>
      <c r="AH362" s="4">
        <f t="shared" si="123"/>
        <v>0</v>
      </c>
      <c r="AI362" s="4">
        <f t="shared" si="124"/>
        <v>0</v>
      </c>
    </row>
    <row r="363" spans="1:35">
      <c r="A363" s="3">
        <v>361</v>
      </c>
      <c r="B363" s="3" t="s">
        <v>24</v>
      </c>
      <c r="C363" s="3" t="s">
        <v>14</v>
      </c>
      <c r="D363" s="4">
        <v>40</v>
      </c>
      <c r="E363" s="4">
        <v>39059083362</v>
      </c>
      <c r="F363" s="4">
        <v>0</v>
      </c>
      <c r="G363" s="4">
        <v>0</v>
      </c>
      <c r="H363" s="5">
        <f t="shared" si="125"/>
        <v>39059083362</v>
      </c>
      <c r="I363" s="4">
        <f t="shared" si="126"/>
        <v>976477084.04999995</v>
      </c>
      <c r="J363" s="4">
        <v>0</v>
      </c>
      <c r="K363" s="4">
        <f t="shared" si="107"/>
        <v>0</v>
      </c>
      <c r="L363" s="3">
        <v>0</v>
      </c>
      <c r="M363" s="5">
        <f t="shared" si="127"/>
        <v>39059083362</v>
      </c>
      <c r="N363" s="4">
        <v>0</v>
      </c>
      <c r="O363" s="4">
        <v>0</v>
      </c>
      <c r="P363" s="4">
        <v>0</v>
      </c>
      <c r="T363" s="4">
        <f t="shared" si="122"/>
        <v>976477084.04999995</v>
      </c>
      <c r="U363" s="4">
        <f t="shared" si="111"/>
        <v>0</v>
      </c>
      <c r="V363" s="4">
        <f t="shared" si="112"/>
        <v>0</v>
      </c>
      <c r="W363" s="4">
        <f t="shared" si="113"/>
        <v>0</v>
      </c>
      <c r="X363" s="5">
        <f t="shared" si="128"/>
        <v>39059083362</v>
      </c>
      <c r="Y363" s="4">
        <f t="shared" si="129"/>
        <v>0</v>
      </c>
      <c r="Z363" s="4">
        <f t="shared" si="129"/>
        <v>0</v>
      </c>
      <c r="AB363" s="5">
        <f t="shared" si="104"/>
        <v>40</v>
      </c>
      <c r="AC363" s="3">
        <f t="shared" si="116"/>
        <v>39059083362</v>
      </c>
      <c r="AD363" s="4">
        <f t="shared" si="117"/>
        <v>0</v>
      </c>
      <c r="AE363" s="5">
        <f t="shared" si="118"/>
        <v>39059083362</v>
      </c>
      <c r="AF363" s="3" t="str">
        <f t="shared" si="119"/>
        <v>Y</v>
      </c>
      <c r="AH363" s="4">
        <f t="shared" si="123"/>
        <v>0</v>
      </c>
      <c r="AI363" s="4">
        <f t="shared" si="124"/>
        <v>0</v>
      </c>
    </row>
    <row r="364" spans="1:35">
      <c r="A364" s="3">
        <v>362</v>
      </c>
      <c r="B364" s="3" t="s">
        <v>25</v>
      </c>
      <c r="C364" s="3" t="s">
        <v>14</v>
      </c>
      <c r="D364" s="4">
        <v>5000</v>
      </c>
      <c r="E364" s="4">
        <v>50000000000.255814</v>
      </c>
      <c r="F364" s="4">
        <v>0</v>
      </c>
      <c r="G364" s="4">
        <v>0</v>
      </c>
      <c r="H364" s="5">
        <f t="shared" si="125"/>
        <v>50000000000.255814</v>
      </c>
      <c r="I364" s="4">
        <f t="shared" si="126"/>
        <v>10000000.000051163</v>
      </c>
      <c r="J364" s="4">
        <v>0</v>
      </c>
      <c r="K364" s="4">
        <f t="shared" si="107"/>
        <v>0</v>
      </c>
      <c r="L364" s="3">
        <v>0</v>
      </c>
      <c r="M364" s="5">
        <f t="shared" si="127"/>
        <v>50000000000.255814</v>
      </c>
      <c r="N364" s="4">
        <v>0</v>
      </c>
      <c r="O364" s="4">
        <v>0</v>
      </c>
      <c r="P364" s="4">
        <v>0</v>
      </c>
      <c r="T364" s="4">
        <f t="shared" si="122"/>
        <v>10000000.000051163</v>
      </c>
      <c r="U364" s="4">
        <f t="shared" si="111"/>
        <v>0</v>
      </c>
      <c r="V364" s="4">
        <f t="shared" si="112"/>
        <v>0</v>
      </c>
      <c r="W364" s="4">
        <f t="shared" si="113"/>
        <v>0</v>
      </c>
      <c r="X364" s="5">
        <f t="shared" si="128"/>
        <v>50000000000.255814</v>
      </c>
      <c r="Y364" s="4">
        <f t="shared" si="129"/>
        <v>0</v>
      </c>
      <c r="Z364" s="4">
        <f t="shared" si="129"/>
        <v>0</v>
      </c>
      <c r="AB364" s="5">
        <f t="shared" si="104"/>
        <v>5000</v>
      </c>
      <c r="AC364" s="3">
        <f t="shared" si="116"/>
        <v>50000000000.255814</v>
      </c>
      <c r="AD364" s="4">
        <f t="shared" si="117"/>
        <v>0</v>
      </c>
      <c r="AE364" s="5">
        <f t="shared" si="118"/>
        <v>50000000000.255814</v>
      </c>
      <c r="AF364" s="3" t="str">
        <f t="shared" si="119"/>
        <v>Y</v>
      </c>
      <c r="AH364" s="4">
        <f t="shared" si="123"/>
        <v>0</v>
      </c>
      <c r="AI364" s="4">
        <f t="shared" si="124"/>
        <v>0</v>
      </c>
    </row>
    <row r="365" spans="1:35">
      <c r="A365" s="3">
        <v>363</v>
      </c>
      <c r="B365" s="3" t="s">
        <v>26</v>
      </c>
      <c r="C365" s="3" t="s">
        <v>14</v>
      </c>
      <c r="D365" s="4">
        <v>5000</v>
      </c>
      <c r="E365" s="4">
        <v>49999999999.880341</v>
      </c>
      <c r="F365" s="4">
        <v>0</v>
      </c>
      <c r="G365" s="4">
        <v>0</v>
      </c>
      <c r="H365" s="5">
        <f t="shared" si="125"/>
        <v>49999999999.880341</v>
      </c>
      <c r="I365" s="4">
        <f t="shared" si="126"/>
        <v>9999999.9999760687</v>
      </c>
      <c r="J365" s="4">
        <v>0</v>
      </c>
      <c r="K365" s="4">
        <f t="shared" si="107"/>
        <v>0</v>
      </c>
      <c r="L365" s="3">
        <v>0</v>
      </c>
      <c r="M365" s="5">
        <f t="shared" si="127"/>
        <v>49999999999.880341</v>
      </c>
      <c r="N365" s="4">
        <v>0</v>
      </c>
      <c r="O365" s="4">
        <v>0</v>
      </c>
      <c r="P365" s="4">
        <v>0</v>
      </c>
      <c r="T365" s="4">
        <f t="shared" si="122"/>
        <v>9999999.9999760687</v>
      </c>
      <c r="U365" s="4">
        <f t="shared" si="111"/>
        <v>0</v>
      </c>
      <c r="V365" s="4">
        <f t="shared" si="112"/>
        <v>0</v>
      </c>
      <c r="W365" s="4">
        <f t="shared" si="113"/>
        <v>0</v>
      </c>
      <c r="X365" s="5">
        <f t="shared" si="128"/>
        <v>49999999999.880341</v>
      </c>
      <c r="Y365" s="4">
        <f t="shared" si="129"/>
        <v>0</v>
      </c>
      <c r="Z365" s="4">
        <f t="shared" si="129"/>
        <v>0</v>
      </c>
      <c r="AB365" s="5">
        <f t="shared" si="104"/>
        <v>5000</v>
      </c>
      <c r="AC365" s="3">
        <f t="shared" si="116"/>
        <v>49999999999.880341</v>
      </c>
      <c r="AD365" s="4">
        <f t="shared" si="117"/>
        <v>0</v>
      </c>
      <c r="AE365" s="5">
        <f t="shared" si="118"/>
        <v>49999999999.880341</v>
      </c>
      <c r="AF365" s="3" t="str">
        <f t="shared" si="119"/>
        <v>Y</v>
      </c>
      <c r="AH365" s="4">
        <f t="shared" si="123"/>
        <v>0</v>
      </c>
      <c r="AI365" s="4">
        <f t="shared" si="124"/>
        <v>0</v>
      </c>
    </row>
    <row r="366" spans="1:35">
      <c r="A366" s="3">
        <v>364</v>
      </c>
      <c r="B366" s="3" t="s">
        <v>27</v>
      </c>
      <c r="C366" s="3" t="s">
        <v>14</v>
      </c>
      <c r="D366" s="4">
        <v>100000</v>
      </c>
      <c r="E366" s="4">
        <v>10774200000</v>
      </c>
      <c r="F366" s="4">
        <v>0</v>
      </c>
      <c r="G366" s="4">
        <v>0</v>
      </c>
      <c r="H366" s="5">
        <f t="shared" si="125"/>
        <v>10774200000</v>
      </c>
      <c r="I366" s="4">
        <f t="shared" si="126"/>
        <v>107742</v>
      </c>
      <c r="J366" s="4">
        <v>0</v>
      </c>
      <c r="K366" s="4">
        <f t="shared" si="107"/>
        <v>0</v>
      </c>
      <c r="L366" s="3">
        <v>0</v>
      </c>
      <c r="M366" s="5">
        <f t="shared" si="127"/>
        <v>10774200000</v>
      </c>
      <c r="N366" s="4">
        <v>0</v>
      </c>
      <c r="O366" s="4">
        <v>0</v>
      </c>
      <c r="P366" s="4">
        <v>0</v>
      </c>
      <c r="T366" s="4">
        <f t="shared" si="122"/>
        <v>107742</v>
      </c>
      <c r="U366" s="4">
        <f t="shared" si="111"/>
        <v>0</v>
      </c>
      <c r="V366" s="4">
        <f t="shared" si="112"/>
        <v>0</v>
      </c>
      <c r="W366" s="4">
        <f t="shared" si="113"/>
        <v>0</v>
      </c>
      <c r="X366" s="5">
        <f t="shared" si="128"/>
        <v>10774200000</v>
      </c>
      <c r="Y366" s="4">
        <f t="shared" si="129"/>
        <v>0</v>
      </c>
      <c r="Z366" s="4">
        <f t="shared" si="129"/>
        <v>0</v>
      </c>
      <c r="AB366" s="5">
        <f t="shared" si="104"/>
        <v>100000</v>
      </c>
      <c r="AC366" s="3">
        <f t="shared" si="116"/>
        <v>10774200000</v>
      </c>
      <c r="AD366" s="4">
        <f t="shared" si="117"/>
        <v>0</v>
      </c>
      <c r="AE366" s="5">
        <f t="shared" si="118"/>
        <v>10774200000</v>
      </c>
      <c r="AF366" s="3" t="str">
        <f t="shared" si="119"/>
        <v>Y</v>
      </c>
      <c r="AH366" s="4">
        <f t="shared" si="123"/>
        <v>0</v>
      </c>
      <c r="AI366" s="4">
        <f t="shared" si="124"/>
        <v>0</v>
      </c>
    </row>
    <row r="367" spans="1:35">
      <c r="A367" s="3">
        <v>365</v>
      </c>
      <c r="B367" s="3" t="s">
        <v>29</v>
      </c>
      <c r="C367" s="3" t="s">
        <v>14</v>
      </c>
      <c r="D367" s="4">
        <v>399500</v>
      </c>
      <c r="E367" s="4">
        <v>43146399500</v>
      </c>
      <c r="F367" s="4">
        <v>0</v>
      </c>
      <c r="G367" s="4">
        <v>0</v>
      </c>
      <c r="H367" s="5">
        <f t="shared" si="125"/>
        <v>43146399500</v>
      </c>
      <c r="I367" s="4">
        <f t="shared" si="126"/>
        <v>108001</v>
      </c>
      <c r="J367" s="4">
        <v>0</v>
      </c>
      <c r="K367" s="4">
        <f t="shared" si="107"/>
        <v>0</v>
      </c>
      <c r="L367" s="3">
        <v>0</v>
      </c>
      <c r="M367" s="5">
        <f t="shared" si="127"/>
        <v>43146399500</v>
      </c>
      <c r="N367" s="4">
        <v>0</v>
      </c>
      <c r="O367" s="4">
        <v>0</v>
      </c>
      <c r="P367" s="4">
        <v>0</v>
      </c>
      <c r="T367" s="4">
        <f t="shared" si="122"/>
        <v>108001</v>
      </c>
      <c r="U367" s="4">
        <f t="shared" si="111"/>
        <v>0</v>
      </c>
      <c r="V367" s="4">
        <f t="shared" si="112"/>
        <v>0</v>
      </c>
      <c r="W367" s="4">
        <f t="shared" si="113"/>
        <v>0</v>
      </c>
      <c r="X367" s="5">
        <f t="shared" si="128"/>
        <v>43146399500</v>
      </c>
      <c r="Y367" s="4">
        <f t="shared" si="129"/>
        <v>0</v>
      </c>
      <c r="Z367" s="4">
        <f t="shared" si="129"/>
        <v>0</v>
      </c>
      <c r="AB367" s="5">
        <f t="shared" si="104"/>
        <v>399500</v>
      </c>
      <c r="AC367" s="3">
        <f t="shared" si="116"/>
        <v>43146399500</v>
      </c>
      <c r="AD367" s="4">
        <f t="shared" si="117"/>
        <v>0</v>
      </c>
      <c r="AE367" s="5">
        <f t="shared" si="118"/>
        <v>43146399500</v>
      </c>
      <c r="AF367" s="3" t="str">
        <f t="shared" si="119"/>
        <v>Y</v>
      </c>
      <c r="AH367" s="4">
        <f t="shared" si="123"/>
        <v>0</v>
      </c>
      <c r="AI367" s="4">
        <f t="shared" si="124"/>
        <v>0</v>
      </c>
    </row>
    <row r="368" spans="1:35">
      <c r="A368" s="3">
        <v>366</v>
      </c>
      <c r="B368" s="3" t="s">
        <v>1017</v>
      </c>
      <c r="C368" s="3" t="s">
        <v>1018</v>
      </c>
      <c r="D368" s="4">
        <v>255135</v>
      </c>
      <c r="E368" s="4">
        <v>4164320945</v>
      </c>
      <c r="F368" s="4">
        <v>0</v>
      </c>
      <c r="G368" s="4">
        <v>0</v>
      </c>
      <c r="H368" s="5">
        <f>E368+F368</f>
        <v>4164320945</v>
      </c>
      <c r="I368" s="4">
        <f t="shared" si="126"/>
        <v>16322.029298214671</v>
      </c>
      <c r="J368" s="4">
        <v>252428.06</v>
      </c>
      <c r="K368" s="5">
        <f>MIN(D368,J368)</f>
        <v>252428.06</v>
      </c>
      <c r="L368" s="4">
        <v>19237</v>
      </c>
      <c r="M368" s="4">
        <f t="shared" ref="M368:M392" si="130">(L368-I368)*K368+E368</f>
        <v>4900141344.2085094</v>
      </c>
      <c r="N368" s="4">
        <f t="shared" ref="N368:N393" si="131">(L368-I368)*K368</f>
        <v>735820399.20850909</v>
      </c>
      <c r="O368" s="4">
        <f t="shared" ref="O368:O393" si="132">IF(N368&gt;0,N368,0)</f>
        <v>735820399.20850909</v>
      </c>
      <c r="P368" s="4">
        <f t="shared" ref="P368:P393" si="133">IF(N368&lt;0,N368,0)</f>
        <v>0</v>
      </c>
      <c r="Q368" s="3" t="s">
        <v>1019</v>
      </c>
      <c r="T368" s="4">
        <f t="shared" si="122"/>
        <v>16322.029298214671</v>
      </c>
      <c r="U368" s="4">
        <f t="shared" si="111"/>
        <v>735820399.20850909</v>
      </c>
      <c r="V368" s="4">
        <f t="shared" si="112"/>
        <v>735820399.20850909</v>
      </c>
      <c r="W368" s="4">
        <f t="shared" si="113"/>
        <v>0</v>
      </c>
      <c r="X368" s="5">
        <f t="shared" ref="X368:X393" si="134">H368+U368</f>
        <v>4900141344.2085094</v>
      </c>
      <c r="Y368" s="4">
        <f t="shared" si="129"/>
        <v>0</v>
      </c>
      <c r="Z368" s="4">
        <f t="shared" si="129"/>
        <v>0</v>
      </c>
      <c r="AB368" s="5">
        <f t="shared" si="104"/>
        <v>2706.9400000000023</v>
      </c>
      <c r="AC368" s="3">
        <f t="shared" si="116"/>
        <v>44182753.98850926</v>
      </c>
      <c r="AD368" s="4">
        <f t="shared" si="117"/>
        <v>52073404.780000046</v>
      </c>
      <c r="AE368" s="5">
        <f t="shared" si="118"/>
        <v>-7890650.7914907858</v>
      </c>
      <c r="AF368" s="3" t="str">
        <f t="shared" si="119"/>
        <v>N</v>
      </c>
      <c r="AH368" s="4">
        <f t="shared" si="123"/>
        <v>4120138191.0114908</v>
      </c>
      <c r="AI368" s="4">
        <f t="shared" si="124"/>
        <v>4855958590.2200003</v>
      </c>
    </row>
    <row r="369" spans="1:35">
      <c r="A369" s="3">
        <v>367</v>
      </c>
      <c r="B369" s="3" t="s">
        <v>1020</v>
      </c>
      <c r="C369" s="3" t="s">
        <v>1018</v>
      </c>
      <c r="D369" s="4">
        <v>243370</v>
      </c>
      <c r="E369" s="4">
        <v>3364607616</v>
      </c>
      <c r="F369" s="4">
        <v>0</v>
      </c>
      <c r="G369" s="4">
        <v>0</v>
      </c>
      <c r="H369" s="5">
        <f t="shared" ref="H369:H393" si="135">E369+F369</f>
        <v>3364607616</v>
      </c>
      <c r="I369" s="4">
        <f t="shared" si="126"/>
        <v>13825.071356370958</v>
      </c>
      <c r="J369" s="4">
        <v>241423.85</v>
      </c>
      <c r="K369" s="5">
        <f t="shared" ref="K369:K393" si="136">MIN(D369,J369)</f>
        <v>241423.85</v>
      </c>
      <c r="L369" s="4">
        <v>16999</v>
      </c>
      <c r="M369" s="4">
        <f t="shared" si="130"/>
        <v>4130869688.7702012</v>
      </c>
      <c r="N369" s="4">
        <f t="shared" si="131"/>
        <v>766262072.77020133</v>
      </c>
      <c r="O369" s="4">
        <f t="shared" si="132"/>
        <v>766262072.77020133</v>
      </c>
      <c r="P369" s="4">
        <f t="shared" si="133"/>
        <v>0</v>
      </c>
      <c r="Q369" s="3" t="s">
        <v>1019</v>
      </c>
      <c r="T369" s="4">
        <f t="shared" si="122"/>
        <v>13825.071356370958</v>
      </c>
      <c r="U369" s="4">
        <f t="shared" si="111"/>
        <v>766262072.77020133</v>
      </c>
      <c r="V369" s="4">
        <f t="shared" si="112"/>
        <v>766262072.77020133</v>
      </c>
      <c r="W369" s="4">
        <f t="shared" si="113"/>
        <v>0</v>
      </c>
      <c r="X369" s="5">
        <f t="shared" si="134"/>
        <v>4130869688.7702012</v>
      </c>
      <c r="Y369" s="4">
        <f t="shared" si="129"/>
        <v>0</v>
      </c>
      <c r="Z369" s="4">
        <f t="shared" si="129"/>
        <v>0</v>
      </c>
      <c r="AB369" s="5">
        <f t="shared" si="104"/>
        <v>1946.1499999999942</v>
      </c>
      <c r="AC369" s="3">
        <f t="shared" si="116"/>
        <v>26905662.62020126</v>
      </c>
      <c r="AD369" s="4">
        <f t="shared" si="117"/>
        <v>33082603.849999901</v>
      </c>
      <c r="AE369" s="5">
        <f t="shared" si="118"/>
        <v>-6176941.2297986411</v>
      </c>
      <c r="AF369" s="3" t="str">
        <f t="shared" si="119"/>
        <v>N</v>
      </c>
      <c r="AH369" s="4">
        <f t="shared" si="123"/>
        <v>3337701953.3797989</v>
      </c>
      <c r="AI369" s="4">
        <f t="shared" si="124"/>
        <v>4103964026.1500001</v>
      </c>
    </row>
    <row r="370" spans="1:35">
      <c r="A370" s="3">
        <v>368</v>
      </c>
      <c r="B370" s="3" t="s">
        <v>1021</v>
      </c>
      <c r="C370" s="3" t="s">
        <v>1018</v>
      </c>
      <c r="D370" s="4">
        <v>448500</v>
      </c>
      <c r="E370" s="4">
        <v>11727815895.58703</v>
      </c>
      <c r="F370" s="4">
        <v>0</v>
      </c>
      <c r="G370" s="4">
        <v>0</v>
      </c>
      <c r="H370" s="5">
        <f t="shared" si="135"/>
        <v>11727815895.58703</v>
      </c>
      <c r="I370" s="4">
        <f t="shared" si="126"/>
        <v>26148.976355823925</v>
      </c>
      <c r="J370" s="4">
        <v>444718.87</v>
      </c>
      <c r="K370" s="5">
        <f t="shared" si="136"/>
        <v>444718.87</v>
      </c>
      <c r="L370" s="4">
        <v>26440</v>
      </c>
      <c r="M370" s="4">
        <f t="shared" si="130"/>
        <v>11857239601.768297</v>
      </c>
      <c r="N370" s="4">
        <f t="shared" si="131"/>
        <v>129423706.18126629</v>
      </c>
      <c r="O370" s="4">
        <f t="shared" si="132"/>
        <v>129423706.18126629</v>
      </c>
      <c r="P370" s="4">
        <f t="shared" si="133"/>
        <v>0</v>
      </c>
      <c r="Q370" s="3" t="s">
        <v>1019</v>
      </c>
      <c r="T370" s="4">
        <f t="shared" si="122"/>
        <v>26148.976355823925</v>
      </c>
      <c r="U370" s="4">
        <f t="shared" si="111"/>
        <v>129423706.18126629</v>
      </c>
      <c r="V370" s="4">
        <f t="shared" si="112"/>
        <v>129423706.18126629</v>
      </c>
      <c r="W370" s="4">
        <f t="shared" si="113"/>
        <v>0</v>
      </c>
      <c r="X370" s="5">
        <f t="shared" si="134"/>
        <v>11857239601.768297</v>
      </c>
      <c r="Y370" s="4">
        <f t="shared" si="129"/>
        <v>0</v>
      </c>
      <c r="Z370" s="4">
        <f t="shared" si="129"/>
        <v>0</v>
      </c>
      <c r="AB370" s="5">
        <f t="shared" si="104"/>
        <v>3781.1300000000047</v>
      </c>
      <c r="AC370" s="3">
        <f t="shared" si="116"/>
        <v>98872678.968296632</v>
      </c>
      <c r="AD370" s="4">
        <f t="shared" si="117"/>
        <v>99973077.200000122</v>
      </c>
      <c r="AE370" s="5">
        <f t="shared" si="118"/>
        <v>-1100398.23170349</v>
      </c>
      <c r="AF370" s="3" t="str">
        <f t="shared" si="119"/>
        <v>N</v>
      </c>
      <c r="AH370" s="4">
        <f t="shared" si="123"/>
        <v>11628943216.618734</v>
      </c>
      <c r="AI370" s="4">
        <f t="shared" si="124"/>
        <v>11758366922.799999</v>
      </c>
    </row>
    <row r="371" spans="1:35">
      <c r="A371" s="3">
        <v>369</v>
      </c>
      <c r="B371" s="3" t="s">
        <v>1022</v>
      </c>
      <c r="C371" s="3" t="s">
        <v>1018</v>
      </c>
      <c r="D371" s="4">
        <v>278840</v>
      </c>
      <c r="E371" s="4">
        <v>5938691500.9490852</v>
      </c>
      <c r="F371" s="4">
        <v>0</v>
      </c>
      <c r="G371" s="4">
        <v>0</v>
      </c>
      <c r="H371" s="5">
        <f t="shared" si="135"/>
        <v>5938691500.9490852</v>
      </c>
      <c r="I371" s="4">
        <f t="shared" si="126"/>
        <v>21297.846438635366</v>
      </c>
      <c r="J371" s="4">
        <v>278109.95</v>
      </c>
      <c r="K371" s="5">
        <f t="shared" si="136"/>
        <v>278109.95</v>
      </c>
      <c r="L371" s="4">
        <v>19430</v>
      </c>
      <c r="M371" s="4">
        <f t="shared" si="130"/>
        <v>5419224821.2925253</v>
      </c>
      <c r="N371" s="4">
        <f t="shared" si="131"/>
        <v>-519466679.65655977</v>
      </c>
      <c r="O371" s="4">
        <f t="shared" si="132"/>
        <v>0</v>
      </c>
      <c r="P371" s="4">
        <f t="shared" si="133"/>
        <v>-519466679.65655977</v>
      </c>
      <c r="Q371" s="3" t="s">
        <v>1019</v>
      </c>
      <c r="T371" s="4">
        <f t="shared" si="122"/>
        <v>21297.846438635366</v>
      </c>
      <c r="U371" s="4">
        <f t="shared" si="111"/>
        <v>-519466679.65655977</v>
      </c>
      <c r="V371" s="4">
        <f t="shared" si="112"/>
        <v>0</v>
      </c>
      <c r="W371" s="4">
        <f t="shared" si="113"/>
        <v>-519466679.65655977</v>
      </c>
      <c r="X371" s="5">
        <f t="shared" si="134"/>
        <v>5419224821.2925253</v>
      </c>
      <c r="Y371" s="4">
        <f t="shared" si="129"/>
        <v>0</v>
      </c>
      <c r="Z371" s="4">
        <f t="shared" si="129"/>
        <v>0</v>
      </c>
      <c r="AB371" s="5">
        <f t="shared" si="104"/>
        <v>730.04999999998836</v>
      </c>
      <c r="AC371" s="3">
        <f t="shared" si="116"/>
        <v>15548492.792525502</v>
      </c>
      <c r="AD371" s="4">
        <f t="shared" si="117"/>
        <v>14184871.499999775</v>
      </c>
      <c r="AE371" s="5">
        <f t="shared" si="118"/>
        <v>1363621.2925257273</v>
      </c>
      <c r="AF371" s="3" t="str">
        <f t="shared" si="119"/>
        <v>Y</v>
      </c>
      <c r="AH371" s="4">
        <f t="shared" si="123"/>
        <v>5923143008.1565599</v>
      </c>
      <c r="AI371" s="4">
        <f t="shared" si="124"/>
        <v>5403676328.5</v>
      </c>
    </row>
    <row r="372" spans="1:35">
      <c r="A372" s="3">
        <v>370</v>
      </c>
      <c r="B372" s="3" t="s">
        <v>1023</v>
      </c>
      <c r="C372" s="3" t="s">
        <v>1018</v>
      </c>
      <c r="D372" s="4">
        <v>559920</v>
      </c>
      <c r="E372" s="4">
        <v>12120394419.310987</v>
      </c>
      <c r="F372" s="4">
        <v>0</v>
      </c>
      <c r="G372" s="4">
        <v>0</v>
      </c>
      <c r="H372" s="5">
        <f t="shared" si="135"/>
        <v>12120394419.310987</v>
      </c>
      <c r="I372" s="4">
        <f t="shared" si="126"/>
        <v>21646.653842175645</v>
      </c>
      <c r="J372" s="4">
        <v>553869.01</v>
      </c>
      <c r="K372" s="5">
        <f t="shared" si="136"/>
        <v>553869.01</v>
      </c>
      <c r="L372" s="4">
        <v>16700</v>
      </c>
      <c r="M372" s="4">
        <f t="shared" si="130"/>
        <v>9380596152.9324665</v>
      </c>
      <c r="N372" s="4">
        <f t="shared" si="131"/>
        <v>-2739798266.378521</v>
      </c>
      <c r="O372" s="4">
        <f t="shared" si="132"/>
        <v>0</v>
      </c>
      <c r="P372" s="4">
        <f t="shared" si="133"/>
        <v>-2739798266.378521</v>
      </c>
      <c r="Q372" s="3" t="s">
        <v>1019</v>
      </c>
      <c r="T372" s="4">
        <f t="shared" si="122"/>
        <v>21646.653842175645</v>
      </c>
      <c r="U372" s="4">
        <f t="shared" si="111"/>
        <v>-2739798266.378521</v>
      </c>
      <c r="V372" s="4">
        <f t="shared" si="112"/>
        <v>0</v>
      </c>
      <c r="W372" s="4">
        <f t="shared" si="113"/>
        <v>-2739798266.378521</v>
      </c>
      <c r="X372" s="5">
        <f t="shared" si="134"/>
        <v>9380596152.9324665</v>
      </c>
      <c r="Y372" s="4">
        <f t="shared" si="129"/>
        <v>0</v>
      </c>
      <c r="Z372" s="4">
        <f t="shared" si="129"/>
        <v>0</v>
      </c>
      <c r="AB372" s="5">
        <f t="shared" si="104"/>
        <v>6050.9899999999907</v>
      </c>
      <c r="AC372" s="3">
        <f t="shared" si="116"/>
        <v>130983685.93246621</v>
      </c>
      <c r="AD372" s="4">
        <f t="shared" si="117"/>
        <v>101051532.99999985</v>
      </c>
      <c r="AE372" s="5">
        <f t="shared" si="118"/>
        <v>29932152.932466358</v>
      </c>
      <c r="AF372" s="3" t="str">
        <f t="shared" si="119"/>
        <v>Y</v>
      </c>
      <c r="AH372" s="4">
        <f t="shared" si="123"/>
        <v>11989410733.378521</v>
      </c>
      <c r="AI372" s="4">
        <f t="shared" si="124"/>
        <v>9249612467</v>
      </c>
    </row>
    <row r="373" spans="1:35">
      <c r="A373" s="3">
        <v>371</v>
      </c>
      <c r="B373" s="3" t="s">
        <v>1024</v>
      </c>
      <c r="C373" s="3" t="s">
        <v>1018</v>
      </c>
      <c r="D373" s="4">
        <v>6800</v>
      </c>
      <c r="E373" s="4">
        <v>73687761.777777776</v>
      </c>
      <c r="F373" s="4">
        <v>0</v>
      </c>
      <c r="G373" s="4">
        <v>21638000</v>
      </c>
      <c r="H373" s="5">
        <f t="shared" si="135"/>
        <v>73687761.777777776</v>
      </c>
      <c r="I373" s="4">
        <f t="shared" si="126"/>
        <v>10836.435555555556</v>
      </c>
      <c r="J373" s="4">
        <v>6605.02</v>
      </c>
      <c r="K373" s="5">
        <f t="shared" si="136"/>
        <v>6605.02</v>
      </c>
      <c r="L373" s="4">
        <v>8420</v>
      </c>
      <c r="M373" s="4">
        <f t="shared" si="130"/>
        <v>57727156.604622215</v>
      </c>
      <c r="N373" s="4">
        <f t="shared" si="131"/>
        <v>-15960605.173155557</v>
      </c>
      <c r="O373" s="4">
        <f t="shared" si="132"/>
        <v>0</v>
      </c>
      <c r="P373" s="4">
        <f t="shared" si="133"/>
        <v>-15960605.173155557</v>
      </c>
      <c r="Q373" s="3" t="s">
        <v>1019</v>
      </c>
      <c r="T373" s="4">
        <f t="shared" si="122"/>
        <v>10836.435555555556</v>
      </c>
      <c r="U373" s="4">
        <f t="shared" si="111"/>
        <v>-15960605.173155557</v>
      </c>
      <c r="V373" s="4">
        <f t="shared" si="112"/>
        <v>0</v>
      </c>
      <c r="W373" s="4">
        <f t="shared" si="113"/>
        <v>-15960605.173155557</v>
      </c>
      <c r="X373" s="5">
        <f t="shared" si="134"/>
        <v>57727156.604622215</v>
      </c>
      <c r="Y373" s="4">
        <f t="shared" si="129"/>
        <v>0</v>
      </c>
      <c r="Z373" s="4">
        <f t="shared" si="129"/>
        <v>0</v>
      </c>
      <c r="AB373" s="5">
        <f t="shared" si="104"/>
        <v>194.97999999999956</v>
      </c>
      <c r="AC373" s="3">
        <f t="shared" si="116"/>
        <v>2112888.2046222175</v>
      </c>
      <c r="AD373" s="4">
        <f t="shared" si="117"/>
        <v>1641731.5999999964</v>
      </c>
      <c r="AE373" s="5">
        <f t="shared" si="118"/>
        <v>471156.60462222109</v>
      </c>
      <c r="AF373" s="3" t="str">
        <f t="shared" si="119"/>
        <v>Y</v>
      </c>
      <c r="AH373" s="4">
        <f t="shared" si="123"/>
        <v>71574873.573155567</v>
      </c>
      <c r="AI373" s="4">
        <f t="shared" si="124"/>
        <v>55614268.400000006</v>
      </c>
    </row>
    <row r="374" spans="1:35">
      <c r="A374" s="3">
        <v>372</v>
      </c>
      <c r="B374" s="3" t="s">
        <v>1025</v>
      </c>
      <c r="C374" s="3" t="s">
        <v>1018</v>
      </c>
      <c r="D374" s="4">
        <v>981400</v>
      </c>
      <c r="E374" s="4">
        <v>17209932397.954803</v>
      </c>
      <c r="F374" s="4">
        <v>0</v>
      </c>
      <c r="G374" s="4">
        <v>0</v>
      </c>
      <c r="H374" s="5">
        <f t="shared" si="135"/>
        <v>17209932397.954803</v>
      </c>
      <c r="I374" s="4">
        <f t="shared" si="126"/>
        <v>17536.103931072757</v>
      </c>
      <c r="J374" s="4">
        <v>977702.89</v>
      </c>
      <c r="K374" s="5">
        <f t="shared" si="136"/>
        <v>977702.89</v>
      </c>
      <c r="L374" s="4">
        <v>13490</v>
      </c>
      <c r="M374" s="4">
        <f t="shared" si="130"/>
        <v>13254044891.304607</v>
      </c>
      <c r="N374" s="4">
        <f t="shared" si="131"/>
        <v>-3955887506.6501956</v>
      </c>
      <c r="O374" s="4">
        <f t="shared" si="132"/>
        <v>0</v>
      </c>
      <c r="P374" s="4">
        <f t="shared" si="133"/>
        <v>-3955887506.6501956</v>
      </c>
      <c r="Q374" s="3" t="s">
        <v>1019</v>
      </c>
      <c r="T374" s="4">
        <f t="shared" si="122"/>
        <v>17536.103931072757</v>
      </c>
      <c r="U374" s="4">
        <f t="shared" si="111"/>
        <v>-3955887506.6501956</v>
      </c>
      <c r="V374" s="4">
        <f t="shared" si="112"/>
        <v>0</v>
      </c>
      <c r="W374" s="4">
        <f t="shared" si="113"/>
        <v>-3955887506.6501956</v>
      </c>
      <c r="X374" s="5">
        <f t="shared" si="134"/>
        <v>13254044891.304607</v>
      </c>
      <c r="Y374" s="4">
        <f t="shared" si="129"/>
        <v>0</v>
      </c>
      <c r="Z374" s="4">
        <f t="shared" si="129"/>
        <v>0</v>
      </c>
      <c r="AB374" s="5">
        <f t="shared" si="104"/>
        <v>3697.109999999986</v>
      </c>
      <c r="AC374" s="3">
        <f t="shared" si="116"/>
        <v>64832905.204608157</v>
      </c>
      <c r="AD374" s="4">
        <f t="shared" si="117"/>
        <v>49874013.899999812</v>
      </c>
      <c r="AE374" s="5">
        <f t="shared" si="118"/>
        <v>14958891.304608345</v>
      </c>
      <c r="AF374" s="3" t="str">
        <f t="shared" si="119"/>
        <v>Y</v>
      </c>
      <c r="AH374" s="4">
        <f t="shared" si="123"/>
        <v>17145099492.750196</v>
      </c>
      <c r="AI374" s="4">
        <f t="shared" si="124"/>
        <v>13189211986.1</v>
      </c>
    </row>
    <row r="375" spans="1:35">
      <c r="A375" s="3">
        <v>373</v>
      </c>
      <c r="B375" s="3" t="s">
        <v>1026</v>
      </c>
      <c r="C375" s="3" t="s">
        <v>1018</v>
      </c>
      <c r="D375" s="4">
        <v>1179250</v>
      </c>
      <c r="E375" s="4">
        <v>24894491436.505371</v>
      </c>
      <c r="F375" s="4">
        <v>0</v>
      </c>
      <c r="G375" s="4">
        <v>0</v>
      </c>
      <c r="H375" s="5">
        <f t="shared" si="135"/>
        <v>24894491436.505371</v>
      </c>
      <c r="I375" s="4">
        <f t="shared" si="126"/>
        <v>21110.44429637937</v>
      </c>
      <c r="J375" s="4">
        <v>1174348.07</v>
      </c>
      <c r="K375" s="5">
        <f t="shared" si="136"/>
        <v>1174348.07</v>
      </c>
      <c r="L375" s="4">
        <v>18450</v>
      </c>
      <c r="M375" s="4">
        <f t="shared" si="130"/>
        <v>21770203811.709751</v>
      </c>
      <c r="N375" s="4">
        <f t="shared" si="131"/>
        <v>-3124287624.7956214</v>
      </c>
      <c r="O375" s="4">
        <f t="shared" si="132"/>
        <v>0</v>
      </c>
      <c r="P375" s="4">
        <f t="shared" si="133"/>
        <v>-3124287624.7956214</v>
      </c>
      <c r="Q375" s="3" t="s">
        <v>1019</v>
      </c>
      <c r="T375" s="4">
        <f t="shared" si="122"/>
        <v>21110.44429637937</v>
      </c>
      <c r="U375" s="4">
        <f t="shared" si="111"/>
        <v>-3124287624.7956214</v>
      </c>
      <c r="V375" s="4">
        <f t="shared" si="112"/>
        <v>0</v>
      </c>
      <c r="W375" s="4">
        <f t="shared" si="113"/>
        <v>-3124287624.7956214</v>
      </c>
      <c r="X375" s="5">
        <f t="shared" si="134"/>
        <v>21770203811.709751</v>
      </c>
      <c r="Y375" s="4">
        <f t="shared" si="129"/>
        <v>0</v>
      </c>
      <c r="Z375" s="4">
        <f t="shared" si="129"/>
        <v>0</v>
      </c>
      <c r="AB375" s="5">
        <f t="shared" si="104"/>
        <v>4901.9299999999348</v>
      </c>
      <c r="AC375" s="3">
        <f t="shared" si="116"/>
        <v>103481920.20974955</v>
      </c>
      <c r="AD375" s="4">
        <f t="shared" si="117"/>
        <v>90440608.499998793</v>
      </c>
      <c r="AE375" s="5">
        <f t="shared" si="118"/>
        <v>13041311.709750757</v>
      </c>
      <c r="AF375" s="3" t="str">
        <f t="shared" si="119"/>
        <v>Y</v>
      </c>
      <c r="AH375" s="4">
        <f t="shared" si="123"/>
        <v>24791009516.295624</v>
      </c>
      <c r="AI375" s="4">
        <f t="shared" si="124"/>
        <v>21666721891.5</v>
      </c>
    </row>
    <row r="376" spans="1:35">
      <c r="A376" s="3">
        <v>374</v>
      </c>
      <c r="B376" s="3" t="s">
        <v>1027</v>
      </c>
      <c r="C376" s="3" t="s">
        <v>1018</v>
      </c>
      <c r="D376" s="4">
        <v>7279.23</v>
      </c>
      <c r="E376" s="4">
        <v>111159942.49399999</v>
      </c>
      <c r="F376" s="4">
        <v>0</v>
      </c>
      <c r="G376" s="4">
        <v>0</v>
      </c>
      <c r="H376" s="5">
        <f t="shared" si="135"/>
        <v>111159942.49399999</v>
      </c>
      <c r="I376" s="4">
        <f t="shared" si="126"/>
        <v>15270.838054849208</v>
      </c>
      <c r="J376" s="4">
        <v>5138.7299999999996</v>
      </c>
      <c r="K376" s="5">
        <f t="shared" si="136"/>
        <v>5138.7299999999996</v>
      </c>
      <c r="L376" s="4">
        <v>13817</v>
      </c>
      <c r="M376" s="4">
        <f t="shared" si="130"/>
        <v>103689061.26640472</v>
      </c>
      <c r="N376" s="4">
        <f t="shared" si="131"/>
        <v>-7470881.2275952687</v>
      </c>
      <c r="O376" s="4">
        <f t="shared" si="132"/>
        <v>0</v>
      </c>
      <c r="P376" s="4">
        <f t="shared" si="133"/>
        <v>-7470881.2275952687</v>
      </c>
      <c r="Q376" s="3" t="s">
        <v>1019</v>
      </c>
      <c r="T376" s="4">
        <f t="shared" si="122"/>
        <v>15270.838054849208</v>
      </c>
      <c r="U376" s="4">
        <f t="shared" si="111"/>
        <v>-7470881.2275952687</v>
      </c>
      <c r="V376" s="4">
        <f t="shared" si="112"/>
        <v>0</v>
      </c>
      <c r="W376" s="4">
        <f t="shared" si="113"/>
        <v>-7470881.2275952687</v>
      </c>
      <c r="X376" s="5">
        <f t="shared" si="134"/>
        <v>103689061.26640472</v>
      </c>
      <c r="Y376" s="4">
        <f t="shared" si="129"/>
        <v>0</v>
      </c>
      <c r="Z376" s="4">
        <f t="shared" si="129"/>
        <v>0</v>
      </c>
      <c r="AB376" s="5">
        <f t="shared" si="104"/>
        <v>2140.5</v>
      </c>
      <c r="AC376" s="3">
        <f t="shared" si="116"/>
        <v>32687228.856404729</v>
      </c>
      <c r="AD376" s="4">
        <f t="shared" si="117"/>
        <v>29575288.5</v>
      </c>
      <c r="AE376" s="5">
        <f t="shared" si="118"/>
        <v>3111940.3564047292</v>
      </c>
      <c r="AF376" s="3" t="str">
        <f t="shared" si="119"/>
        <v>Y</v>
      </c>
      <c r="AH376" s="4">
        <f t="shared" si="123"/>
        <v>78472713.637595266</v>
      </c>
      <c r="AI376" s="4">
        <f t="shared" si="124"/>
        <v>71001832.409999996</v>
      </c>
    </row>
    <row r="377" spans="1:35">
      <c r="A377" s="3">
        <v>375</v>
      </c>
      <c r="B377" s="3" t="s">
        <v>1028</v>
      </c>
      <c r="C377" s="3" t="s">
        <v>1018</v>
      </c>
      <c r="D377" s="4">
        <v>10520</v>
      </c>
      <c r="E377" s="4">
        <v>110688001</v>
      </c>
      <c r="F377" s="4">
        <v>0</v>
      </c>
      <c r="G377" s="4">
        <v>0</v>
      </c>
      <c r="H377" s="5">
        <f t="shared" si="135"/>
        <v>110688001</v>
      </c>
      <c r="I377" s="4">
        <f t="shared" si="126"/>
        <v>10521.673098859315</v>
      </c>
      <c r="J377" s="4">
        <v>4975.7</v>
      </c>
      <c r="K377" s="5">
        <f t="shared" si="136"/>
        <v>4975.7</v>
      </c>
      <c r="L377" s="4">
        <v>13519</v>
      </c>
      <c r="M377" s="4">
        <f t="shared" si="130"/>
        <v>125601800.4620057</v>
      </c>
      <c r="N377" s="4">
        <f t="shared" si="131"/>
        <v>14913799.462005705</v>
      </c>
      <c r="O377" s="4">
        <f t="shared" si="132"/>
        <v>14913799.462005705</v>
      </c>
      <c r="P377" s="4">
        <f t="shared" si="133"/>
        <v>0</v>
      </c>
      <c r="Q377" s="3" t="s">
        <v>1019</v>
      </c>
      <c r="T377" s="4">
        <f t="shared" si="122"/>
        <v>10521.673098859315</v>
      </c>
      <c r="U377" s="4">
        <f t="shared" si="111"/>
        <v>14913799.462005705</v>
      </c>
      <c r="V377" s="4">
        <f t="shared" si="112"/>
        <v>14913799.462005705</v>
      </c>
      <c r="W377" s="4">
        <f t="shared" si="113"/>
        <v>0</v>
      </c>
      <c r="X377" s="5">
        <f t="shared" si="134"/>
        <v>125601800.4620057</v>
      </c>
      <c r="Y377" s="4">
        <f t="shared" si="129"/>
        <v>0</v>
      </c>
      <c r="Z377" s="4">
        <f t="shared" si="129"/>
        <v>0</v>
      </c>
      <c r="AB377" s="5">
        <f t="shared" si="104"/>
        <v>5544.3</v>
      </c>
      <c r="AC377" s="3">
        <f t="shared" si="116"/>
        <v>58335312.162005708</v>
      </c>
      <c r="AD377" s="4">
        <f t="shared" si="117"/>
        <v>74953391.700000003</v>
      </c>
      <c r="AE377" s="5">
        <f t="shared" si="118"/>
        <v>-16618079.537994295</v>
      </c>
      <c r="AF377" s="3" t="str">
        <f t="shared" si="119"/>
        <v>N</v>
      </c>
      <c r="AH377" s="4">
        <f t="shared" si="123"/>
        <v>52352688.837994292</v>
      </c>
      <c r="AI377" s="4">
        <f t="shared" si="124"/>
        <v>67266488.299999997</v>
      </c>
    </row>
    <row r="378" spans="1:35">
      <c r="A378" s="3">
        <v>376</v>
      </c>
      <c r="B378" s="3" t="s">
        <v>1029</v>
      </c>
      <c r="C378" s="3" t="s">
        <v>1018</v>
      </c>
      <c r="D378" s="4">
        <v>1386531.7600000002</v>
      </c>
      <c r="E378" s="4">
        <v>34674025973.709145</v>
      </c>
      <c r="F378" s="4">
        <v>0</v>
      </c>
      <c r="G378" s="4">
        <v>0</v>
      </c>
      <c r="H378" s="5">
        <f t="shared" si="135"/>
        <v>34674025973.709145</v>
      </c>
      <c r="I378" s="4">
        <f t="shared" si="126"/>
        <v>25007.740157145148</v>
      </c>
      <c r="J378" s="4">
        <v>1385363.23</v>
      </c>
      <c r="K378" s="5">
        <f t="shared" si="136"/>
        <v>1385363.23</v>
      </c>
      <c r="L378" s="4">
        <v>30573.98</v>
      </c>
      <c r="M378" s="4">
        <f t="shared" si="130"/>
        <v>42385289981.361237</v>
      </c>
      <c r="N378" s="4">
        <f t="shared" si="131"/>
        <v>7711264007.6520891</v>
      </c>
      <c r="O378" s="4">
        <f t="shared" si="132"/>
        <v>7711264007.6520891</v>
      </c>
      <c r="P378" s="4">
        <f t="shared" si="133"/>
        <v>0</v>
      </c>
      <c r="Q378" s="3" t="s">
        <v>1019</v>
      </c>
      <c r="T378" s="4">
        <f t="shared" si="122"/>
        <v>25007.740157145148</v>
      </c>
      <c r="U378" s="4">
        <f t="shared" si="111"/>
        <v>7711264007.6520891</v>
      </c>
      <c r="V378" s="4">
        <f t="shared" si="112"/>
        <v>7711264007.6520891</v>
      </c>
      <c r="W378" s="4">
        <f t="shared" si="113"/>
        <v>0</v>
      </c>
      <c r="X378" s="5">
        <f t="shared" si="134"/>
        <v>42385289981.361237</v>
      </c>
      <c r="Y378" s="4">
        <f t="shared" si="129"/>
        <v>0</v>
      </c>
      <c r="Z378" s="4">
        <f t="shared" si="129"/>
        <v>0</v>
      </c>
      <c r="AB378" s="5">
        <f t="shared" si="104"/>
        <v>1168.5300000002608</v>
      </c>
      <c r="AC378" s="3">
        <f t="shared" si="116"/>
        <v>29222294.605835341</v>
      </c>
      <c r="AD378" s="4">
        <f t="shared" si="117"/>
        <v>35726612.849407971</v>
      </c>
      <c r="AE378" s="5">
        <f t="shared" si="118"/>
        <v>-6504318.24357263</v>
      </c>
      <c r="AF378" s="3" t="str">
        <f t="shared" si="119"/>
        <v>N</v>
      </c>
      <c r="AH378" s="4">
        <f t="shared" si="123"/>
        <v>34644803679.10331</v>
      </c>
      <c r="AI378" s="4">
        <f t="shared" si="124"/>
        <v>42356067686.755402</v>
      </c>
    </row>
    <row r="379" spans="1:35">
      <c r="A379" s="3">
        <v>377</v>
      </c>
      <c r="B379" s="3" t="s">
        <v>1030</v>
      </c>
      <c r="C379" s="3" t="s">
        <v>1018</v>
      </c>
      <c r="D379" s="4">
        <v>574390</v>
      </c>
      <c r="E379" s="4">
        <v>10767976458.099976</v>
      </c>
      <c r="F379" s="4">
        <v>0</v>
      </c>
      <c r="G379" s="4">
        <v>0</v>
      </c>
      <c r="H379" s="5">
        <f t="shared" si="135"/>
        <v>10767976458.099976</v>
      </c>
      <c r="I379" s="4">
        <f t="shared" si="126"/>
        <v>18746.803492574691</v>
      </c>
      <c r="J379" s="4">
        <v>570500.47</v>
      </c>
      <c r="K379" s="5">
        <f t="shared" si="136"/>
        <v>570500.47</v>
      </c>
      <c r="L379" s="4">
        <v>13970</v>
      </c>
      <c r="M379" s="4">
        <f t="shared" si="130"/>
        <v>8042807820.4884739</v>
      </c>
      <c r="N379" s="4">
        <f t="shared" si="131"/>
        <v>-2725168637.6115022</v>
      </c>
      <c r="O379" s="4">
        <f t="shared" si="132"/>
        <v>0</v>
      </c>
      <c r="P379" s="4">
        <f t="shared" si="133"/>
        <v>-2725168637.6115022</v>
      </c>
      <c r="Q379" s="3" t="s">
        <v>1019</v>
      </c>
      <c r="T379" s="4">
        <f t="shared" si="122"/>
        <v>18746.803492574691</v>
      </c>
      <c r="U379" s="4">
        <f t="shared" si="111"/>
        <v>-2725168637.6115022</v>
      </c>
      <c r="V379" s="4">
        <f t="shared" si="112"/>
        <v>0</v>
      </c>
      <c r="W379" s="4">
        <f t="shared" si="113"/>
        <v>-2725168637.6115022</v>
      </c>
      <c r="X379" s="5">
        <f t="shared" si="134"/>
        <v>8042807820.4884739</v>
      </c>
      <c r="Y379" s="4">
        <f t="shared" si="129"/>
        <v>0</v>
      </c>
      <c r="Z379" s="4">
        <f t="shared" si="129"/>
        <v>0</v>
      </c>
      <c r="AB379" s="5">
        <f t="shared" si="104"/>
        <v>3889.5300000000279</v>
      </c>
      <c r="AC379" s="3">
        <f t="shared" si="116"/>
        <v>72916254.588474557</v>
      </c>
      <c r="AD379" s="4">
        <f t="shared" si="117"/>
        <v>54336734.100000389</v>
      </c>
      <c r="AE379" s="5">
        <f t="shared" si="118"/>
        <v>18579520.488474168</v>
      </c>
      <c r="AF379" s="3" t="str">
        <f t="shared" si="119"/>
        <v>Y</v>
      </c>
      <c r="AH379" s="4">
        <f t="shared" si="123"/>
        <v>10695060203.511501</v>
      </c>
      <c r="AI379" s="4">
        <f t="shared" si="124"/>
        <v>7969891565.8999996</v>
      </c>
    </row>
    <row r="380" spans="1:35">
      <c r="A380" s="3">
        <v>378</v>
      </c>
      <c r="B380" s="3" t="s">
        <v>1031</v>
      </c>
      <c r="C380" s="3" t="s">
        <v>1018</v>
      </c>
      <c r="D380" s="4">
        <v>1634795.1799999992</v>
      </c>
      <c r="E380" s="4">
        <v>20718241325.703846</v>
      </c>
      <c r="F380" s="4">
        <v>0</v>
      </c>
      <c r="G380" s="4">
        <v>0</v>
      </c>
      <c r="H380" s="5">
        <f t="shared" si="135"/>
        <v>20718241325.703846</v>
      </c>
      <c r="I380" s="4">
        <f t="shared" si="126"/>
        <v>12673.294844008444</v>
      </c>
      <c r="J380" s="4">
        <v>1633122.64</v>
      </c>
      <c r="K380" s="5">
        <f t="shared" si="136"/>
        <v>1633122.64</v>
      </c>
      <c r="L380" s="4">
        <v>14734.92</v>
      </c>
      <c r="M380" s="4">
        <f t="shared" si="130"/>
        <v>24085128043.147186</v>
      </c>
      <c r="N380" s="4">
        <f t="shared" si="131"/>
        <v>3366886717.4433422</v>
      </c>
      <c r="O380" s="4">
        <f t="shared" si="132"/>
        <v>3366886717.4433422</v>
      </c>
      <c r="P380" s="4">
        <f t="shared" si="133"/>
        <v>0</v>
      </c>
      <c r="Q380" s="3" t="s">
        <v>1019</v>
      </c>
      <c r="T380" s="4">
        <f t="shared" si="122"/>
        <v>12673.294844008444</v>
      </c>
      <c r="U380" s="4">
        <f t="shared" si="111"/>
        <v>3366886717.4433422</v>
      </c>
      <c r="V380" s="4">
        <f t="shared" si="112"/>
        <v>3366886717.4433422</v>
      </c>
      <c r="W380" s="4">
        <f t="shared" si="113"/>
        <v>0</v>
      </c>
      <c r="X380" s="5">
        <f t="shared" si="134"/>
        <v>24085128043.147186</v>
      </c>
      <c r="Y380" s="4">
        <f t="shared" si="129"/>
        <v>0</v>
      </c>
      <c r="Z380" s="4">
        <f t="shared" si="129"/>
        <v>0</v>
      </c>
      <c r="AB380" s="5">
        <f t="shared" si="104"/>
        <v>1672.5399999993388</v>
      </c>
      <c r="AC380" s="3">
        <f t="shared" si="116"/>
        <v>21196592.558389504</v>
      </c>
      <c r="AD380" s="4">
        <f t="shared" si="117"/>
        <v>24644743.096790258</v>
      </c>
      <c r="AE380" s="5">
        <f t="shared" si="118"/>
        <v>-3448150.5384007543</v>
      </c>
      <c r="AF380" s="3" t="str">
        <f t="shared" si="119"/>
        <v>N</v>
      </c>
      <c r="AH380" s="4">
        <f t="shared" si="123"/>
        <v>20697044733.145458</v>
      </c>
      <c r="AI380" s="4">
        <f t="shared" si="124"/>
        <v>24063931450.588799</v>
      </c>
    </row>
    <row r="381" spans="1:35">
      <c r="A381" s="3">
        <v>379</v>
      </c>
      <c r="B381" s="3" t="s">
        <v>1032</v>
      </c>
      <c r="C381" s="3" t="s">
        <v>1018</v>
      </c>
      <c r="D381" s="4">
        <v>1328986.8213999995</v>
      </c>
      <c r="E381" s="4">
        <v>19520532207.231899</v>
      </c>
      <c r="F381" s="4">
        <v>0</v>
      </c>
      <c r="G381" s="4">
        <v>0</v>
      </c>
      <c r="H381" s="5">
        <f t="shared" si="135"/>
        <v>19520532207.231899</v>
      </c>
      <c r="I381" s="4">
        <f t="shared" si="126"/>
        <v>14688.281247716446</v>
      </c>
      <c r="J381" s="4">
        <v>1325576.08</v>
      </c>
      <c r="K381" s="5">
        <f t="shared" si="136"/>
        <v>1325576.08</v>
      </c>
      <c r="L381" s="4">
        <v>17721</v>
      </c>
      <c r="M381" s="4">
        <f t="shared" si="130"/>
        <v>23540631642.626423</v>
      </c>
      <c r="N381" s="4">
        <f t="shared" si="131"/>
        <v>4020099435.3945246</v>
      </c>
      <c r="O381" s="4">
        <f t="shared" si="132"/>
        <v>4020099435.3945246</v>
      </c>
      <c r="P381" s="4">
        <f t="shared" si="133"/>
        <v>0</v>
      </c>
      <c r="Q381" s="3" t="s">
        <v>1019</v>
      </c>
      <c r="T381" s="4">
        <f t="shared" si="122"/>
        <v>14688.281247716446</v>
      </c>
      <c r="U381" s="4">
        <f t="shared" si="111"/>
        <v>4020099435.3945246</v>
      </c>
      <c r="V381" s="4">
        <f t="shared" si="112"/>
        <v>4020099435.3945246</v>
      </c>
      <c r="W381" s="4">
        <f t="shared" si="113"/>
        <v>0</v>
      </c>
      <c r="X381" s="5">
        <f t="shared" si="134"/>
        <v>23540631642.626423</v>
      </c>
      <c r="Y381" s="4">
        <f t="shared" si="129"/>
        <v>0</v>
      </c>
      <c r="Z381" s="4">
        <f t="shared" si="129"/>
        <v>0</v>
      </c>
      <c r="AB381" s="5">
        <f t="shared" si="104"/>
        <v>3410.7413999994751</v>
      </c>
      <c r="AC381" s="3">
        <f t="shared" si="116"/>
        <v>50097928.946422428</v>
      </c>
      <c r="AD381" s="4">
        <f t="shared" si="117"/>
        <v>60441748.3493907</v>
      </c>
      <c r="AE381" s="5">
        <f t="shared" si="118"/>
        <v>-10343819.402968273</v>
      </c>
      <c r="AF381" s="3" t="str">
        <f t="shared" si="119"/>
        <v>N</v>
      </c>
      <c r="AH381" s="4">
        <f t="shared" si="123"/>
        <v>19470434278.285477</v>
      </c>
      <c r="AI381" s="4">
        <f t="shared" si="124"/>
        <v>23490533713.68</v>
      </c>
    </row>
    <row r="382" spans="1:35">
      <c r="A382" s="3">
        <v>380</v>
      </c>
      <c r="B382" s="3" t="s">
        <v>1033</v>
      </c>
      <c r="C382" s="3" t="s">
        <v>1018</v>
      </c>
      <c r="D382" s="4">
        <v>576516.81000000006</v>
      </c>
      <c r="E382" s="4">
        <v>6585881959.9382782</v>
      </c>
      <c r="F382" s="4">
        <v>0</v>
      </c>
      <c r="G382" s="4">
        <v>0</v>
      </c>
      <c r="H382" s="5">
        <f t="shared" si="135"/>
        <v>6585881959.9382782</v>
      </c>
      <c r="I382" s="4">
        <f t="shared" si="126"/>
        <v>11423.573165088244</v>
      </c>
      <c r="J382" s="4">
        <v>575404.27</v>
      </c>
      <c r="K382" s="5">
        <f t="shared" si="136"/>
        <v>575404.27</v>
      </c>
      <c r="L382" s="4">
        <v>13472</v>
      </c>
      <c r="M382" s="4">
        <f t="shared" si="130"/>
        <v>7764555507.5290871</v>
      </c>
      <c r="N382" s="4">
        <f t="shared" si="131"/>
        <v>1178673547.5908093</v>
      </c>
      <c r="O382" s="4">
        <f t="shared" si="132"/>
        <v>1178673547.5908093</v>
      </c>
      <c r="P382" s="4">
        <f t="shared" si="133"/>
        <v>0</v>
      </c>
      <c r="Q382" s="3" t="s">
        <v>1019</v>
      </c>
      <c r="T382" s="4">
        <f t="shared" si="122"/>
        <v>11423.573165088244</v>
      </c>
      <c r="U382" s="4">
        <f t="shared" si="111"/>
        <v>1178673547.5908093</v>
      </c>
      <c r="V382" s="4">
        <f t="shared" si="112"/>
        <v>1178673547.5908093</v>
      </c>
      <c r="W382" s="4">
        <f t="shared" si="113"/>
        <v>0</v>
      </c>
      <c r="X382" s="5">
        <f t="shared" si="134"/>
        <v>7764555507.5290871</v>
      </c>
      <c r="Y382" s="4">
        <f t="shared" si="129"/>
        <v>0</v>
      </c>
      <c r="Z382" s="4">
        <f t="shared" si="129"/>
        <v>0</v>
      </c>
      <c r="AB382" s="5">
        <f t="shared" si="104"/>
        <v>1112.5400000000373</v>
      </c>
      <c r="AC382" s="3">
        <f t="shared" si="116"/>
        <v>12709182.0890877</v>
      </c>
      <c r="AD382" s="4">
        <f t="shared" si="117"/>
        <v>14988138.880000502</v>
      </c>
      <c r="AE382" s="5">
        <f t="shared" si="118"/>
        <v>-2278956.7909128014</v>
      </c>
      <c r="AF382" s="3" t="str">
        <f t="shared" si="119"/>
        <v>N</v>
      </c>
      <c r="AH382" s="4">
        <f t="shared" si="123"/>
        <v>6573172777.8491907</v>
      </c>
      <c r="AI382" s="4">
        <f t="shared" si="124"/>
        <v>7751846325.4400005</v>
      </c>
    </row>
    <row r="383" spans="1:35">
      <c r="A383" s="3">
        <v>381</v>
      </c>
      <c r="B383" s="3" t="s">
        <v>386</v>
      </c>
      <c r="C383" s="3" t="s">
        <v>1018</v>
      </c>
      <c r="D383" s="4">
        <v>5900000</v>
      </c>
      <c r="E383" s="4">
        <v>59590000000</v>
      </c>
      <c r="F383" s="4">
        <v>0</v>
      </c>
      <c r="G383" s="4">
        <v>0</v>
      </c>
      <c r="H383" s="5">
        <f t="shared" si="135"/>
        <v>59590000000</v>
      </c>
      <c r="I383" s="4">
        <f t="shared" si="126"/>
        <v>10100</v>
      </c>
      <c r="J383" s="4">
        <v>0</v>
      </c>
      <c r="K383" s="5">
        <f t="shared" si="136"/>
        <v>0</v>
      </c>
      <c r="L383" s="4">
        <v>14500</v>
      </c>
      <c r="M383" s="4">
        <f t="shared" si="130"/>
        <v>59590000000</v>
      </c>
      <c r="N383" s="4">
        <f t="shared" si="131"/>
        <v>0</v>
      </c>
      <c r="O383" s="4">
        <f t="shared" si="132"/>
        <v>0</v>
      </c>
      <c r="P383" s="4">
        <f t="shared" si="133"/>
        <v>0</v>
      </c>
      <c r="Q383" s="3" t="s">
        <v>1019</v>
      </c>
      <c r="T383" s="4">
        <f t="shared" si="122"/>
        <v>10100</v>
      </c>
      <c r="U383" s="4">
        <f t="shared" si="111"/>
        <v>0</v>
      </c>
      <c r="V383" s="4">
        <f t="shared" si="112"/>
        <v>0</v>
      </c>
      <c r="W383" s="4">
        <f t="shared" si="113"/>
        <v>0</v>
      </c>
      <c r="X383" s="5">
        <f t="shared" si="134"/>
        <v>59590000000</v>
      </c>
      <c r="Y383" s="4">
        <f t="shared" si="129"/>
        <v>0</v>
      </c>
      <c r="Z383" s="4">
        <f t="shared" si="129"/>
        <v>0</v>
      </c>
      <c r="AB383" s="5">
        <f t="shared" si="104"/>
        <v>5900000</v>
      </c>
      <c r="AC383" s="3">
        <f t="shared" si="116"/>
        <v>59590000000</v>
      </c>
      <c r="AD383" s="4">
        <f t="shared" si="117"/>
        <v>85550000000</v>
      </c>
      <c r="AE383" s="5">
        <f t="shared" si="118"/>
        <v>-25960000000</v>
      </c>
      <c r="AF383" s="3" t="str">
        <f t="shared" si="119"/>
        <v>N</v>
      </c>
      <c r="AH383" s="4">
        <f t="shared" si="123"/>
        <v>0</v>
      </c>
      <c r="AI383" s="4">
        <f t="shared" si="124"/>
        <v>0</v>
      </c>
    </row>
    <row r="384" spans="1:35">
      <c r="A384" s="3">
        <v>382</v>
      </c>
      <c r="B384" s="3" t="s">
        <v>390</v>
      </c>
      <c r="C384" s="3" t="s">
        <v>1018</v>
      </c>
      <c r="D384" s="4">
        <v>5000000</v>
      </c>
      <c r="E384" s="4">
        <v>50500000000</v>
      </c>
      <c r="F384" s="4">
        <v>0</v>
      </c>
      <c r="G384" s="4">
        <v>0</v>
      </c>
      <c r="H384" s="5">
        <f t="shared" si="135"/>
        <v>50500000000</v>
      </c>
      <c r="I384" s="4">
        <f t="shared" si="126"/>
        <v>10100</v>
      </c>
      <c r="J384" s="4">
        <v>0</v>
      </c>
      <c r="K384" s="5">
        <f t="shared" si="136"/>
        <v>0</v>
      </c>
      <c r="L384" s="4">
        <v>14000</v>
      </c>
      <c r="M384" s="4">
        <f t="shared" si="130"/>
        <v>50500000000</v>
      </c>
      <c r="N384" s="4">
        <f t="shared" si="131"/>
        <v>0</v>
      </c>
      <c r="O384" s="4">
        <f t="shared" si="132"/>
        <v>0</v>
      </c>
      <c r="P384" s="4">
        <f t="shared" si="133"/>
        <v>0</v>
      </c>
      <c r="Q384" s="3" t="s">
        <v>1019</v>
      </c>
      <c r="T384" s="4">
        <f t="shared" si="122"/>
        <v>10100</v>
      </c>
      <c r="U384" s="4">
        <f t="shared" si="111"/>
        <v>0</v>
      </c>
      <c r="V384" s="4">
        <f t="shared" si="112"/>
        <v>0</v>
      </c>
      <c r="W384" s="4">
        <f t="shared" si="113"/>
        <v>0</v>
      </c>
      <c r="X384" s="5">
        <f t="shared" si="134"/>
        <v>50500000000</v>
      </c>
      <c r="Y384" s="4">
        <f t="shared" si="129"/>
        <v>0</v>
      </c>
      <c r="Z384" s="4">
        <f t="shared" si="129"/>
        <v>0</v>
      </c>
      <c r="AB384" s="5">
        <f t="shared" si="104"/>
        <v>5000000</v>
      </c>
      <c r="AC384" s="3">
        <f t="shared" si="116"/>
        <v>50500000000</v>
      </c>
      <c r="AD384" s="4">
        <f t="shared" si="117"/>
        <v>70000000000</v>
      </c>
      <c r="AE384" s="5">
        <f t="shared" si="118"/>
        <v>-19500000000</v>
      </c>
      <c r="AF384" s="3" t="str">
        <f t="shared" si="119"/>
        <v>N</v>
      </c>
      <c r="AH384" s="4">
        <f t="shared" si="123"/>
        <v>0</v>
      </c>
      <c r="AI384" s="4">
        <f t="shared" si="124"/>
        <v>0</v>
      </c>
    </row>
    <row r="385" spans="1:35">
      <c r="A385" s="3">
        <v>383</v>
      </c>
      <c r="B385" s="3" t="s">
        <v>1034</v>
      </c>
      <c r="C385" s="3" t="s">
        <v>1018</v>
      </c>
      <c r="D385" s="4">
        <v>1915</v>
      </c>
      <c r="E385" s="4">
        <v>35960232</v>
      </c>
      <c r="F385" s="4">
        <v>0</v>
      </c>
      <c r="G385" s="4">
        <v>0</v>
      </c>
      <c r="H385" s="5">
        <f t="shared" si="135"/>
        <v>35960232</v>
      </c>
      <c r="I385" s="4">
        <f t="shared" si="126"/>
        <v>18778.189033942559</v>
      </c>
      <c r="J385" s="4">
        <v>1825.35</v>
      </c>
      <c r="K385" s="5">
        <f t="shared" si="136"/>
        <v>1825.35</v>
      </c>
      <c r="L385" s="4">
        <v>27889.87</v>
      </c>
      <c r="M385" s="4">
        <f t="shared" si="130"/>
        <v>52592238.851392947</v>
      </c>
      <c r="N385" s="4">
        <f t="shared" si="131"/>
        <v>16632006.851392947</v>
      </c>
      <c r="O385" s="4">
        <f t="shared" si="132"/>
        <v>16632006.851392947</v>
      </c>
      <c r="P385" s="4">
        <f t="shared" si="133"/>
        <v>0</v>
      </c>
      <c r="Q385" s="3" t="s">
        <v>1019</v>
      </c>
      <c r="T385" s="4">
        <f t="shared" si="122"/>
        <v>18778.189033942559</v>
      </c>
      <c r="U385" s="4">
        <f t="shared" si="111"/>
        <v>16632006.851392947</v>
      </c>
      <c r="V385" s="4">
        <f t="shared" si="112"/>
        <v>16632006.851392947</v>
      </c>
      <c r="W385" s="4">
        <f t="shared" si="113"/>
        <v>0</v>
      </c>
      <c r="X385" s="5">
        <f t="shared" si="134"/>
        <v>52592238.851392947</v>
      </c>
      <c r="Y385" s="4">
        <f t="shared" si="129"/>
        <v>0</v>
      </c>
      <c r="Z385" s="4">
        <f t="shared" si="129"/>
        <v>0</v>
      </c>
      <c r="AB385" s="5">
        <f t="shared" si="104"/>
        <v>89.650000000000091</v>
      </c>
      <c r="AC385" s="3">
        <f t="shared" si="116"/>
        <v>1683464.646892952</v>
      </c>
      <c r="AD385" s="4">
        <f t="shared" si="117"/>
        <v>2500326.8455000026</v>
      </c>
      <c r="AE385" s="5">
        <f t="shared" si="118"/>
        <v>-816862.19860705058</v>
      </c>
      <c r="AF385" s="3" t="str">
        <f t="shared" si="119"/>
        <v>N</v>
      </c>
      <c r="AH385" s="4">
        <f t="shared" si="123"/>
        <v>34276767.35310705</v>
      </c>
      <c r="AI385" s="4">
        <f t="shared" si="124"/>
        <v>50908774.204499997</v>
      </c>
    </row>
    <row r="386" spans="1:35">
      <c r="A386" s="3">
        <v>384</v>
      </c>
      <c r="B386" s="3" t="s">
        <v>1035</v>
      </c>
      <c r="C386" s="3" t="s">
        <v>1018</v>
      </c>
      <c r="D386" s="4">
        <v>333012.42100000021</v>
      </c>
      <c r="E386" s="4">
        <v>19524722723.718292</v>
      </c>
      <c r="F386" s="4">
        <v>0</v>
      </c>
      <c r="G386" s="4">
        <v>0</v>
      </c>
      <c r="H386" s="5">
        <f t="shared" si="135"/>
        <v>19524722723.718292</v>
      </c>
      <c r="I386" s="4">
        <f t="shared" si="126"/>
        <v>58630.614032616759</v>
      </c>
      <c r="J386" s="4">
        <v>331924.58</v>
      </c>
      <c r="K386" s="5">
        <f t="shared" si="136"/>
        <v>331924.58</v>
      </c>
      <c r="L386" s="4">
        <v>65607.009999999995</v>
      </c>
      <c r="M386" s="4">
        <f t="shared" si="130"/>
        <v>21840360025.105667</v>
      </c>
      <c r="N386" s="4">
        <f t="shared" si="131"/>
        <v>2315637301.3873744</v>
      </c>
      <c r="O386" s="4">
        <f t="shared" si="132"/>
        <v>2315637301.3873744</v>
      </c>
      <c r="P386" s="4">
        <f t="shared" si="133"/>
        <v>0</v>
      </c>
      <c r="Q386" s="3" t="s">
        <v>1019</v>
      </c>
      <c r="T386" s="4">
        <f t="shared" si="122"/>
        <v>58630.614032616759</v>
      </c>
      <c r="U386" s="4">
        <f t="shared" si="111"/>
        <v>2315637301.3873744</v>
      </c>
      <c r="V386" s="4">
        <f t="shared" si="112"/>
        <v>2315637301.3873744</v>
      </c>
      <c r="W386" s="4">
        <f t="shared" si="113"/>
        <v>0</v>
      </c>
      <c r="X386" s="5">
        <f t="shared" si="134"/>
        <v>21840360025.105667</v>
      </c>
      <c r="Y386" s="4">
        <f t="shared" si="129"/>
        <v>0</v>
      </c>
      <c r="Z386" s="4">
        <f t="shared" si="129"/>
        <v>0</v>
      </c>
      <c r="AB386" s="5">
        <f t="shared" si="104"/>
        <v>1087.8410000001895</v>
      </c>
      <c r="AC386" s="3">
        <f t="shared" si="116"/>
        <v>63780785.799866959</v>
      </c>
      <c r="AD386" s="4">
        <f t="shared" si="117"/>
        <v>71369995.365422428</v>
      </c>
      <c r="AE386" s="5">
        <f t="shared" si="118"/>
        <v>-7589209.5655554682</v>
      </c>
      <c r="AF386" s="3" t="str">
        <f t="shared" si="119"/>
        <v>N</v>
      </c>
      <c r="AH386" s="4">
        <f t="shared" si="123"/>
        <v>19460941937.918427</v>
      </c>
      <c r="AI386" s="4">
        <f t="shared" si="124"/>
        <v>21776579239.305798</v>
      </c>
    </row>
    <row r="387" spans="1:35">
      <c r="A387" s="3">
        <v>385</v>
      </c>
      <c r="B387" s="3" t="s">
        <v>1036</v>
      </c>
      <c r="C387" s="3" t="s">
        <v>1018</v>
      </c>
      <c r="D387" s="4">
        <v>43525.850000000006</v>
      </c>
      <c r="E387" s="4">
        <v>1103996435.8825259</v>
      </c>
      <c r="F387" s="4">
        <v>0</v>
      </c>
      <c r="G387" s="4">
        <v>0</v>
      </c>
      <c r="H387" s="5">
        <f t="shared" si="135"/>
        <v>1103996435.8825259</v>
      </c>
      <c r="I387" s="4">
        <f t="shared" si="126"/>
        <v>25364.155688689039</v>
      </c>
      <c r="J387" s="4">
        <v>40985.64</v>
      </c>
      <c r="K387" s="5">
        <f t="shared" si="136"/>
        <v>40985.64</v>
      </c>
      <c r="L387" s="4">
        <v>25266.06</v>
      </c>
      <c r="M387" s="4">
        <f t="shared" si="130"/>
        <v>1099975921.300365</v>
      </c>
      <c r="N387" s="4">
        <f t="shared" si="131"/>
        <v>-4020514.582160986</v>
      </c>
      <c r="O387" s="4">
        <f t="shared" si="132"/>
        <v>0</v>
      </c>
      <c r="P387" s="4">
        <f t="shared" si="133"/>
        <v>-4020514.582160986</v>
      </c>
      <c r="Q387" s="3" t="s">
        <v>1019</v>
      </c>
      <c r="T387" s="4">
        <f t="shared" si="122"/>
        <v>25364.155688689039</v>
      </c>
      <c r="U387" s="4">
        <f t="shared" si="111"/>
        <v>-4020514.582160986</v>
      </c>
      <c r="V387" s="4">
        <f t="shared" si="112"/>
        <v>0</v>
      </c>
      <c r="W387" s="4">
        <f t="shared" si="113"/>
        <v>-4020514.582160986</v>
      </c>
      <c r="X387" s="5">
        <f t="shared" si="134"/>
        <v>1099975921.300365</v>
      </c>
      <c r="Y387" s="4">
        <f t="shared" si="129"/>
        <v>0</v>
      </c>
      <c r="Z387" s="4">
        <f t="shared" si="129"/>
        <v>0</v>
      </c>
      <c r="AB387" s="5">
        <f t="shared" ref="AB387:AB402" si="137">D387-J387</f>
        <v>2540.2100000000064</v>
      </c>
      <c r="AC387" s="3">
        <f t="shared" si="116"/>
        <v>64430281.921964943</v>
      </c>
      <c r="AD387" s="4">
        <f t="shared" si="117"/>
        <v>64181098.272600166</v>
      </c>
      <c r="AE387" s="5">
        <f t="shared" si="118"/>
        <v>249183.64936477691</v>
      </c>
      <c r="AF387" s="3" t="str">
        <f t="shared" si="119"/>
        <v>Y</v>
      </c>
      <c r="AH387" s="4">
        <f t="shared" si="123"/>
        <v>1039566153.960561</v>
      </c>
      <c r="AI387" s="4">
        <f t="shared" si="124"/>
        <v>1035545639.3784001</v>
      </c>
    </row>
    <row r="388" spans="1:35">
      <c r="A388" s="3">
        <v>386</v>
      </c>
      <c r="B388" s="3" t="s">
        <v>1037</v>
      </c>
      <c r="C388" s="3" t="s">
        <v>1018</v>
      </c>
      <c r="D388" s="4">
        <v>189872</v>
      </c>
      <c r="E388" s="4">
        <v>3937203109</v>
      </c>
      <c r="F388" s="4">
        <v>0</v>
      </c>
      <c r="G388" s="4">
        <v>0</v>
      </c>
      <c r="H388" s="5">
        <f t="shared" si="135"/>
        <v>3937203109</v>
      </c>
      <c r="I388" s="4">
        <f t="shared" si="126"/>
        <v>20736.091203547654</v>
      </c>
      <c r="J388" s="4">
        <v>187670.2</v>
      </c>
      <c r="K388" s="5">
        <f t="shared" si="136"/>
        <v>187670.2</v>
      </c>
      <c r="L388" s="4">
        <v>25356.26</v>
      </c>
      <c r="M388" s="4">
        <f t="shared" si="130"/>
        <v>4804271111.0639706</v>
      </c>
      <c r="N388" s="4">
        <f t="shared" si="131"/>
        <v>867068002.0639708</v>
      </c>
      <c r="O388" s="4">
        <f t="shared" si="132"/>
        <v>867068002.0639708</v>
      </c>
      <c r="P388" s="4">
        <f t="shared" si="133"/>
        <v>0</v>
      </c>
      <c r="Q388" s="3" t="s">
        <v>1019</v>
      </c>
      <c r="T388" s="4">
        <f t="shared" si="122"/>
        <v>20736.091203547654</v>
      </c>
      <c r="U388" s="4">
        <f t="shared" ref="U388:U393" si="138">(L388-T388)*K388</f>
        <v>867068002.0639708</v>
      </c>
      <c r="V388" s="4">
        <f t="shared" ref="V388:V393" si="139">IF(U388&gt;0,U388,0)</f>
        <v>867068002.0639708</v>
      </c>
      <c r="W388" s="4">
        <f t="shared" ref="W388:W393" si="140">IF(U388&lt;0,U388,0)</f>
        <v>0</v>
      </c>
      <c r="X388" s="5">
        <f t="shared" si="134"/>
        <v>4804271111.0639706</v>
      </c>
      <c r="Y388" s="4">
        <f t="shared" si="129"/>
        <v>0</v>
      </c>
      <c r="Z388" s="4">
        <f t="shared" si="129"/>
        <v>0</v>
      </c>
      <c r="AB388" s="5">
        <f t="shared" si="137"/>
        <v>2201.7999999999884</v>
      </c>
      <c r="AC388" s="3">
        <f t="shared" ref="AC388:AC402" si="141">T388*AB388</f>
        <v>45656725.611970983</v>
      </c>
      <c r="AD388" s="4">
        <f t="shared" ref="AD388:AD402" si="142">L388*AB388</f>
        <v>55829413.267999701</v>
      </c>
      <c r="AE388" s="5">
        <f t="shared" ref="AE388:AE402" si="143">IF(AB388&gt;0,AC388-AD388,0)</f>
        <v>-10172687.656028718</v>
      </c>
      <c r="AF388" s="3" t="str">
        <f t="shared" ref="AF388:AF402" si="144">IF(AE388&gt;0,"Y","N")</f>
        <v>N</v>
      </c>
      <c r="AH388" s="4">
        <f t="shared" si="123"/>
        <v>3891546383.3880291</v>
      </c>
      <c r="AI388" s="4">
        <f t="shared" si="124"/>
        <v>4758614385.4519997</v>
      </c>
    </row>
    <row r="389" spans="1:35">
      <c r="A389" s="3">
        <v>387</v>
      </c>
      <c r="B389" s="3" t="s">
        <v>1038</v>
      </c>
      <c r="C389" s="3" t="s">
        <v>1018</v>
      </c>
      <c r="D389" s="4">
        <v>4985.4199999999983</v>
      </c>
      <c r="E389" s="4">
        <v>49447898.616536289</v>
      </c>
      <c r="F389" s="4">
        <v>0</v>
      </c>
      <c r="G389" s="4">
        <v>0</v>
      </c>
      <c r="H389" s="5">
        <f t="shared" si="135"/>
        <v>49447898.616536289</v>
      </c>
      <c r="I389" s="4">
        <f t="shared" si="126"/>
        <v>9918.5020753590088</v>
      </c>
      <c r="J389" s="4">
        <v>3167.94</v>
      </c>
      <c r="K389" s="5">
        <f t="shared" si="136"/>
        <v>3167.94</v>
      </c>
      <c r="L389" s="4">
        <v>9529</v>
      </c>
      <c r="M389" s="4">
        <f t="shared" si="130"/>
        <v>48213979.411923468</v>
      </c>
      <c r="N389" s="4">
        <f t="shared" si="131"/>
        <v>-1233919.2046128183</v>
      </c>
      <c r="O389" s="4">
        <f t="shared" si="132"/>
        <v>0</v>
      </c>
      <c r="P389" s="4">
        <f t="shared" si="133"/>
        <v>-1233919.2046128183</v>
      </c>
      <c r="Q389" s="3" t="s">
        <v>1019</v>
      </c>
      <c r="T389" s="4">
        <f t="shared" si="122"/>
        <v>9918.5020753590088</v>
      </c>
      <c r="U389" s="4">
        <f t="shared" si="138"/>
        <v>-1233919.2046128183</v>
      </c>
      <c r="V389" s="4">
        <f t="shared" si="139"/>
        <v>0</v>
      </c>
      <c r="W389" s="4">
        <f t="shared" si="140"/>
        <v>-1233919.2046128183</v>
      </c>
      <c r="X389" s="5">
        <f t="shared" si="134"/>
        <v>48213979.411923468</v>
      </c>
      <c r="Y389" s="4">
        <f t="shared" si="129"/>
        <v>0</v>
      </c>
      <c r="Z389" s="4">
        <f t="shared" si="129"/>
        <v>0</v>
      </c>
      <c r="AB389" s="5">
        <f t="shared" si="137"/>
        <v>1817.4799999999982</v>
      </c>
      <c r="AC389" s="3">
        <f t="shared" si="141"/>
        <v>18026679.151923474</v>
      </c>
      <c r="AD389" s="4">
        <f t="shared" si="142"/>
        <v>17318766.919999983</v>
      </c>
      <c r="AE389" s="5">
        <f t="shared" si="143"/>
        <v>707912.23192349076</v>
      </c>
      <c r="AF389" s="3" t="str">
        <f t="shared" si="144"/>
        <v>Y</v>
      </c>
      <c r="AH389" s="4">
        <f t="shared" si="123"/>
        <v>31421219.464612819</v>
      </c>
      <c r="AI389" s="4">
        <f t="shared" si="124"/>
        <v>30187300.260000002</v>
      </c>
    </row>
    <row r="390" spans="1:35">
      <c r="A390" s="3">
        <v>388</v>
      </c>
      <c r="B390" s="3" t="s">
        <v>1039</v>
      </c>
      <c r="C390" s="3" t="s">
        <v>1018</v>
      </c>
      <c r="D390" s="4">
        <v>1254510</v>
      </c>
      <c r="E390" s="4">
        <v>23496696026.885727</v>
      </c>
      <c r="F390" s="4">
        <v>0</v>
      </c>
      <c r="G390" s="4">
        <v>0</v>
      </c>
      <c r="H390" s="5">
        <f t="shared" si="135"/>
        <v>23496696026.885727</v>
      </c>
      <c r="I390" s="4">
        <f t="shared" si="126"/>
        <v>18729.779776076499</v>
      </c>
      <c r="J390" s="4">
        <v>1245241.3</v>
      </c>
      <c r="K390" s="5">
        <f t="shared" si="136"/>
        <v>1245241.3</v>
      </c>
      <c r="L390" s="4">
        <v>15330</v>
      </c>
      <c r="M390" s="4">
        <f t="shared" si="130"/>
        <v>19263149838.810516</v>
      </c>
      <c r="N390" s="4">
        <f t="shared" si="131"/>
        <v>-4233546188.0752087</v>
      </c>
      <c r="O390" s="4">
        <f t="shared" si="132"/>
        <v>0</v>
      </c>
      <c r="P390" s="4">
        <f t="shared" si="133"/>
        <v>-4233546188.0752087</v>
      </c>
      <c r="Q390" s="3" t="s">
        <v>1019</v>
      </c>
      <c r="T390" s="4">
        <f t="shared" si="122"/>
        <v>18729.779776076499</v>
      </c>
      <c r="U390" s="4">
        <f t="shared" si="138"/>
        <v>-4233546188.0752087</v>
      </c>
      <c r="V390" s="4">
        <f t="shared" si="139"/>
        <v>0</v>
      </c>
      <c r="W390" s="4">
        <f t="shared" si="140"/>
        <v>-4233546188.0752087</v>
      </c>
      <c r="X390" s="5">
        <f t="shared" si="134"/>
        <v>19263149838.810516</v>
      </c>
      <c r="Y390" s="4">
        <f t="shared" si="129"/>
        <v>0</v>
      </c>
      <c r="Z390" s="4">
        <f t="shared" si="129"/>
        <v>0</v>
      </c>
      <c r="AB390" s="5">
        <f t="shared" si="137"/>
        <v>9268.6999999999534</v>
      </c>
      <c r="AC390" s="3">
        <f t="shared" si="141"/>
        <v>173600709.81051937</v>
      </c>
      <c r="AD390" s="4">
        <f t="shared" si="142"/>
        <v>142089170.99999928</v>
      </c>
      <c r="AE390" s="5">
        <f t="shared" si="143"/>
        <v>31511538.810520083</v>
      </c>
      <c r="AF390" s="3" t="str">
        <f t="shared" si="144"/>
        <v>Y</v>
      </c>
      <c r="AH390" s="4">
        <f t="shared" si="123"/>
        <v>23323095317.075211</v>
      </c>
      <c r="AI390" s="4">
        <f t="shared" si="124"/>
        <v>19089549129</v>
      </c>
    </row>
    <row r="391" spans="1:35">
      <c r="A391" s="3">
        <v>389</v>
      </c>
      <c r="B391" s="3" t="s">
        <v>1040</v>
      </c>
      <c r="C391" s="3" t="s">
        <v>1018</v>
      </c>
      <c r="D391" s="4">
        <v>304919.01</v>
      </c>
      <c r="E391" s="4">
        <v>3711384254.565156</v>
      </c>
      <c r="F391" s="4">
        <v>0</v>
      </c>
      <c r="G391" s="4">
        <v>0</v>
      </c>
      <c r="H391" s="5">
        <f t="shared" si="135"/>
        <v>3711384254.565156</v>
      </c>
      <c r="I391" s="4">
        <f t="shared" si="126"/>
        <v>12171.705052319157</v>
      </c>
      <c r="J391" s="4">
        <v>302588.77</v>
      </c>
      <c r="K391" s="5">
        <f t="shared" si="136"/>
        <v>302588.77</v>
      </c>
      <c r="L391" s="4">
        <v>14008</v>
      </c>
      <c r="M391" s="4">
        <f t="shared" si="130"/>
        <v>4267026484.1411166</v>
      </c>
      <c r="N391" s="4">
        <f t="shared" si="131"/>
        <v>555642229.57596052</v>
      </c>
      <c r="O391" s="4">
        <f t="shared" si="132"/>
        <v>555642229.57596052</v>
      </c>
      <c r="P391" s="4">
        <f t="shared" si="133"/>
        <v>0</v>
      </c>
      <c r="Q391" s="3" t="s">
        <v>1019</v>
      </c>
      <c r="T391" s="4">
        <f t="shared" si="122"/>
        <v>12171.705052319157</v>
      </c>
      <c r="U391" s="4">
        <f t="shared" si="138"/>
        <v>555642229.57596052</v>
      </c>
      <c r="V391" s="4">
        <f t="shared" si="139"/>
        <v>555642229.57596052</v>
      </c>
      <c r="W391" s="4">
        <f t="shared" si="140"/>
        <v>0</v>
      </c>
      <c r="X391" s="5">
        <f t="shared" si="134"/>
        <v>4267026484.1411166</v>
      </c>
      <c r="Y391" s="4">
        <f t="shared" si="129"/>
        <v>0</v>
      </c>
      <c r="Z391" s="4">
        <f t="shared" si="129"/>
        <v>0</v>
      </c>
      <c r="AB391" s="5">
        <f t="shared" si="137"/>
        <v>2330.2399999999907</v>
      </c>
      <c r="AC391" s="3">
        <f t="shared" si="141"/>
        <v>28362993.981116079</v>
      </c>
      <c r="AD391" s="4">
        <f t="shared" si="142"/>
        <v>32642001.919999868</v>
      </c>
      <c r="AE391" s="5">
        <f t="shared" si="143"/>
        <v>-4279007.9388837889</v>
      </c>
      <c r="AF391" s="3" t="str">
        <f t="shared" si="144"/>
        <v>N</v>
      </c>
      <c r="AH391" s="4">
        <f t="shared" si="123"/>
        <v>3683021260.5840397</v>
      </c>
      <c r="AI391" s="4">
        <f t="shared" si="124"/>
        <v>4238663490.1600003</v>
      </c>
    </row>
    <row r="392" spans="1:35">
      <c r="A392" s="3">
        <v>390</v>
      </c>
      <c r="B392" s="3" t="s">
        <v>1041</v>
      </c>
      <c r="C392" s="3" t="s">
        <v>1018</v>
      </c>
      <c r="D392" s="4">
        <v>753418.5</v>
      </c>
      <c r="E392" s="4">
        <v>8628644191.2524033</v>
      </c>
      <c r="F392" s="4">
        <v>0</v>
      </c>
      <c r="G392" s="4">
        <v>0</v>
      </c>
      <c r="H392" s="5">
        <f t="shared" si="135"/>
        <v>8628644191.2524033</v>
      </c>
      <c r="I392" s="4">
        <f t="shared" si="126"/>
        <v>11452.657707837547</v>
      </c>
      <c r="J392" s="4">
        <v>751691.28</v>
      </c>
      <c r="K392" s="5">
        <f t="shared" si="136"/>
        <v>751691.28</v>
      </c>
      <c r="L392" s="4">
        <v>13542</v>
      </c>
      <c r="M392" s="4">
        <f t="shared" si="130"/>
        <v>10199184573.206131</v>
      </c>
      <c r="N392" s="4">
        <f t="shared" si="131"/>
        <v>1570540381.9537284</v>
      </c>
      <c r="O392" s="4">
        <f t="shared" si="132"/>
        <v>1570540381.9537284</v>
      </c>
      <c r="P392" s="4">
        <f t="shared" si="133"/>
        <v>0</v>
      </c>
      <c r="Q392" s="3" t="s">
        <v>1019</v>
      </c>
      <c r="T392" s="4">
        <f t="shared" si="122"/>
        <v>11452.657707837547</v>
      </c>
      <c r="U392" s="4">
        <f t="shared" si="138"/>
        <v>1570540381.9537284</v>
      </c>
      <c r="V392" s="4">
        <f t="shared" si="139"/>
        <v>1570540381.9537284</v>
      </c>
      <c r="W392" s="4">
        <f t="shared" si="140"/>
        <v>0</v>
      </c>
      <c r="X392" s="5">
        <f t="shared" si="134"/>
        <v>10199184573.206131</v>
      </c>
      <c r="Y392" s="4">
        <f t="shared" si="129"/>
        <v>0</v>
      </c>
      <c r="Z392" s="4">
        <f t="shared" si="129"/>
        <v>0</v>
      </c>
      <c r="AB392" s="5">
        <f t="shared" si="137"/>
        <v>1727.2199999999721</v>
      </c>
      <c r="AC392" s="3">
        <f t="shared" si="141"/>
        <v>19781259.446130846</v>
      </c>
      <c r="AD392" s="4">
        <f t="shared" si="142"/>
        <v>23390013.239999622</v>
      </c>
      <c r="AE392" s="5">
        <f t="shared" si="143"/>
        <v>-3608753.7938687764</v>
      </c>
      <c r="AF392" s="3" t="str">
        <f t="shared" si="144"/>
        <v>N</v>
      </c>
      <c r="AH392" s="4">
        <f t="shared" si="123"/>
        <v>8608862931.8062725</v>
      </c>
      <c r="AI392" s="4">
        <f t="shared" si="124"/>
        <v>10179403313.76</v>
      </c>
    </row>
    <row r="393" spans="1:35">
      <c r="A393" s="3">
        <v>390</v>
      </c>
      <c r="B393" s="3" t="s">
        <v>1042</v>
      </c>
      <c r="C393" s="3" t="s">
        <v>1018</v>
      </c>
      <c r="D393" s="4">
        <v>0</v>
      </c>
      <c r="E393" s="4">
        <v>0</v>
      </c>
      <c r="F393" s="4">
        <v>0</v>
      </c>
      <c r="G393" s="4">
        <v>409355956</v>
      </c>
      <c r="H393" s="5">
        <f t="shared" si="135"/>
        <v>0</v>
      </c>
      <c r="I393" s="4">
        <v>0</v>
      </c>
      <c r="J393" s="4">
        <v>0</v>
      </c>
      <c r="K393" s="5">
        <f t="shared" si="136"/>
        <v>0</v>
      </c>
      <c r="L393" s="4">
        <v>0</v>
      </c>
      <c r="M393" s="4">
        <f t="shared" si="127"/>
        <v>0</v>
      </c>
      <c r="N393" s="4">
        <f t="shared" si="131"/>
        <v>0</v>
      </c>
      <c r="O393" s="4">
        <f t="shared" si="132"/>
        <v>0</v>
      </c>
      <c r="P393" s="4">
        <f t="shared" si="133"/>
        <v>0</v>
      </c>
      <c r="T393" s="4">
        <v>0</v>
      </c>
      <c r="U393" s="4">
        <f t="shared" si="138"/>
        <v>0</v>
      </c>
      <c r="V393" s="4">
        <f t="shared" si="139"/>
        <v>0</v>
      </c>
      <c r="W393" s="4">
        <f t="shared" si="140"/>
        <v>0</v>
      </c>
      <c r="X393" s="5">
        <f t="shared" si="134"/>
        <v>0</v>
      </c>
      <c r="Y393" s="4">
        <f t="shared" si="129"/>
        <v>0</v>
      </c>
      <c r="Z393" s="4">
        <f t="shared" si="129"/>
        <v>0</v>
      </c>
      <c r="AB393" s="5">
        <f t="shared" si="137"/>
        <v>0</v>
      </c>
      <c r="AC393" s="3">
        <f t="shared" si="141"/>
        <v>0</v>
      </c>
      <c r="AD393" s="4">
        <f t="shared" si="142"/>
        <v>0</v>
      </c>
      <c r="AE393" s="5">
        <f t="shared" si="143"/>
        <v>0</v>
      </c>
      <c r="AF393" s="3" t="str">
        <f t="shared" si="144"/>
        <v>N</v>
      </c>
      <c r="AH393" s="4">
        <f t="shared" si="123"/>
        <v>0</v>
      </c>
      <c r="AI393" s="4">
        <f t="shared" si="124"/>
        <v>0</v>
      </c>
    </row>
    <row r="394" spans="1:35">
      <c r="A394" s="3">
        <v>390</v>
      </c>
      <c r="B394" s="3" t="s">
        <v>30</v>
      </c>
      <c r="C394" s="3" t="s">
        <v>1018</v>
      </c>
      <c r="D394" s="3">
        <v>1</v>
      </c>
      <c r="E394" s="4">
        <v>52559423050</v>
      </c>
      <c r="F394" s="4">
        <v>0</v>
      </c>
      <c r="G394" s="4">
        <v>0</v>
      </c>
      <c r="H394" s="5">
        <f>E394</f>
        <v>52559423050</v>
      </c>
      <c r="I394" s="4">
        <f t="shared" si="126"/>
        <v>52559423050</v>
      </c>
      <c r="J394" s="4">
        <v>0</v>
      </c>
      <c r="K394" s="4">
        <v>0</v>
      </c>
      <c r="L394" s="4">
        <v>0</v>
      </c>
      <c r="M394" s="4">
        <f t="shared" si="127"/>
        <v>52559423050</v>
      </c>
      <c r="N394" s="4">
        <v>0</v>
      </c>
      <c r="O394" s="4">
        <v>0</v>
      </c>
      <c r="P394" s="4">
        <v>0</v>
      </c>
      <c r="Q394" s="3" t="s">
        <v>1043</v>
      </c>
      <c r="T394" s="4">
        <f t="shared" si="122"/>
        <v>52559423050</v>
      </c>
      <c r="U394" s="4">
        <v>0</v>
      </c>
      <c r="V394" s="4">
        <v>0</v>
      </c>
      <c r="W394" s="4">
        <v>0</v>
      </c>
      <c r="X394" s="5">
        <f>M394</f>
        <v>52559423050</v>
      </c>
      <c r="Y394" s="4">
        <f t="shared" ref="Y394:Z402" si="145">O394-V394</f>
        <v>0</v>
      </c>
      <c r="Z394" s="4">
        <f t="shared" si="145"/>
        <v>0</v>
      </c>
      <c r="AB394" s="5">
        <f t="shared" si="137"/>
        <v>1</v>
      </c>
      <c r="AC394" s="3">
        <f t="shared" si="141"/>
        <v>52559423050</v>
      </c>
      <c r="AD394" s="4">
        <f t="shared" si="142"/>
        <v>0</v>
      </c>
      <c r="AE394" s="5">
        <f t="shared" si="143"/>
        <v>52559423050</v>
      </c>
      <c r="AF394" s="3" t="str">
        <f t="shared" si="144"/>
        <v>Y</v>
      </c>
      <c r="AH394" s="4">
        <f t="shared" si="123"/>
        <v>0</v>
      </c>
      <c r="AI394" s="4">
        <f t="shared" si="124"/>
        <v>0</v>
      </c>
    </row>
    <row r="395" spans="1:35">
      <c r="A395" s="3">
        <v>390</v>
      </c>
      <c r="B395" s="3" t="s">
        <v>32</v>
      </c>
      <c r="C395" s="3" t="s">
        <v>1018</v>
      </c>
      <c r="D395" s="3">
        <v>1</v>
      </c>
      <c r="E395" s="4">
        <v>51834228650</v>
      </c>
      <c r="F395" s="4">
        <v>0</v>
      </c>
      <c r="G395" s="4">
        <v>0</v>
      </c>
      <c r="H395" s="5">
        <f t="shared" ref="H395:H402" si="146">E395</f>
        <v>51834228650</v>
      </c>
      <c r="I395" s="4">
        <f t="shared" si="126"/>
        <v>51834228650</v>
      </c>
      <c r="J395" s="4">
        <v>0</v>
      </c>
      <c r="K395" s="4">
        <v>0</v>
      </c>
      <c r="L395" s="4">
        <v>0</v>
      </c>
      <c r="M395" s="4">
        <f t="shared" si="127"/>
        <v>51834228650</v>
      </c>
      <c r="N395" s="4">
        <v>0</v>
      </c>
      <c r="O395" s="4">
        <v>0</v>
      </c>
      <c r="P395" s="4">
        <v>0</v>
      </c>
      <c r="Q395" s="3" t="s">
        <v>1043</v>
      </c>
      <c r="T395" s="4">
        <f t="shared" si="122"/>
        <v>51834228650</v>
      </c>
      <c r="U395" s="4">
        <v>0</v>
      </c>
      <c r="V395" s="4">
        <v>0</v>
      </c>
      <c r="W395" s="4">
        <v>0</v>
      </c>
      <c r="X395" s="5">
        <f t="shared" ref="X395:X402" si="147">M395</f>
        <v>51834228650</v>
      </c>
      <c r="Y395" s="4">
        <f t="shared" si="145"/>
        <v>0</v>
      </c>
      <c r="Z395" s="4">
        <f t="shared" si="145"/>
        <v>0</v>
      </c>
      <c r="AB395" s="5">
        <f t="shared" si="137"/>
        <v>1</v>
      </c>
      <c r="AC395" s="3">
        <f t="shared" si="141"/>
        <v>51834228650</v>
      </c>
      <c r="AD395" s="4">
        <f t="shared" si="142"/>
        <v>0</v>
      </c>
      <c r="AE395" s="5">
        <f t="shared" si="143"/>
        <v>51834228650</v>
      </c>
      <c r="AF395" s="3" t="str">
        <f t="shared" si="144"/>
        <v>Y</v>
      </c>
      <c r="AH395" s="4">
        <f t="shared" si="123"/>
        <v>0</v>
      </c>
      <c r="AI395" s="4">
        <f t="shared" si="124"/>
        <v>0</v>
      </c>
    </row>
    <row r="396" spans="1:35">
      <c r="A396" s="3">
        <v>390</v>
      </c>
      <c r="B396" s="3" t="s">
        <v>33</v>
      </c>
      <c r="C396" s="3" t="s">
        <v>1018</v>
      </c>
      <c r="D396" s="3">
        <v>1</v>
      </c>
      <c r="E396" s="4">
        <v>51708773650</v>
      </c>
      <c r="F396" s="4">
        <v>0</v>
      </c>
      <c r="G396" s="4">
        <v>0</v>
      </c>
      <c r="H396" s="5">
        <f t="shared" si="146"/>
        <v>51708773650</v>
      </c>
      <c r="I396" s="4">
        <f t="shared" si="126"/>
        <v>51708773650</v>
      </c>
      <c r="J396" s="4">
        <v>0</v>
      </c>
      <c r="K396" s="4">
        <v>0</v>
      </c>
      <c r="L396" s="4">
        <v>0</v>
      </c>
      <c r="M396" s="4">
        <f t="shared" si="127"/>
        <v>51708773650</v>
      </c>
      <c r="N396" s="4">
        <v>0</v>
      </c>
      <c r="O396" s="4">
        <v>0</v>
      </c>
      <c r="P396" s="4">
        <v>0</v>
      </c>
      <c r="Q396" s="3" t="s">
        <v>1043</v>
      </c>
      <c r="T396" s="4">
        <f t="shared" si="122"/>
        <v>51708773650</v>
      </c>
      <c r="U396" s="4">
        <v>0</v>
      </c>
      <c r="V396" s="4">
        <v>0</v>
      </c>
      <c r="W396" s="4">
        <v>0</v>
      </c>
      <c r="X396" s="5">
        <f t="shared" si="147"/>
        <v>51708773650</v>
      </c>
      <c r="Y396" s="4">
        <f t="shared" si="145"/>
        <v>0</v>
      </c>
      <c r="Z396" s="4">
        <f t="shared" si="145"/>
        <v>0</v>
      </c>
      <c r="AB396" s="5">
        <f t="shared" si="137"/>
        <v>1</v>
      </c>
      <c r="AC396" s="3">
        <f t="shared" si="141"/>
        <v>51708773650</v>
      </c>
      <c r="AD396" s="4">
        <f t="shared" si="142"/>
        <v>0</v>
      </c>
      <c r="AE396" s="5">
        <f t="shared" si="143"/>
        <v>51708773650</v>
      </c>
      <c r="AF396" s="3" t="str">
        <f t="shared" si="144"/>
        <v>Y</v>
      </c>
      <c r="AH396" s="4">
        <f t="shared" si="123"/>
        <v>0</v>
      </c>
      <c r="AI396" s="4">
        <f t="shared" si="124"/>
        <v>0</v>
      </c>
    </row>
    <row r="397" spans="1:35">
      <c r="A397" s="3">
        <v>390</v>
      </c>
      <c r="B397" s="3" t="s">
        <v>85</v>
      </c>
      <c r="C397" s="3" t="s">
        <v>1018</v>
      </c>
      <c r="D397" s="3">
        <v>1</v>
      </c>
      <c r="E397" s="4">
        <v>100000000000</v>
      </c>
      <c r="F397" s="4">
        <v>0</v>
      </c>
      <c r="G397" s="4">
        <v>0</v>
      </c>
      <c r="H397" s="5">
        <f t="shared" si="146"/>
        <v>100000000000</v>
      </c>
      <c r="I397" s="4">
        <f t="shared" si="126"/>
        <v>100000000000</v>
      </c>
      <c r="J397" s="4">
        <v>0</v>
      </c>
      <c r="K397" s="4">
        <v>0</v>
      </c>
      <c r="L397" s="4">
        <v>0</v>
      </c>
      <c r="M397" s="4">
        <f t="shared" si="127"/>
        <v>100000000000</v>
      </c>
      <c r="N397" s="4">
        <v>0</v>
      </c>
      <c r="O397" s="4">
        <v>0</v>
      </c>
      <c r="P397" s="4">
        <v>0</v>
      </c>
      <c r="Q397" s="3" t="s">
        <v>1043</v>
      </c>
      <c r="T397" s="4">
        <f t="shared" si="122"/>
        <v>100000000000</v>
      </c>
      <c r="U397" s="4">
        <v>0</v>
      </c>
      <c r="V397" s="4">
        <v>0</v>
      </c>
      <c r="W397" s="4">
        <v>0</v>
      </c>
      <c r="X397" s="5">
        <f t="shared" si="147"/>
        <v>100000000000</v>
      </c>
      <c r="Y397" s="4">
        <f t="shared" si="145"/>
        <v>0</v>
      </c>
      <c r="Z397" s="4">
        <f t="shared" si="145"/>
        <v>0</v>
      </c>
      <c r="AB397" s="5">
        <f t="shared" si="137"/>
        <v>1</v>
      </c>
      <c r="AC397" s="3">
        <f t="shared" si="141"/>
        <v>100000000000</v>
      </c>
      <c r="AD397" s="4">
        <f t="shared" si="142"/>
        <v>0</v>
      </c>
      <c r="AE397" s="5">
        <f t="shared" si="143"/>
        <v>100000000000</v>
      </c>
      <c r="AF397" s="3" t="str">
        <f t="shared" si="144"/>
        <v>Y</v>
      </c>
      <c r="AH397" s="4">
        <f t="shared" si="123"/>
        <v>0</v>
      </c>
      <c r="AI397" s="4">
        <f t="shared" si="124"/>
        <v>0</v>
      </c>
    </row>
    <row r="398" spans="1:35">
      <c r="A398" s="3">
        <v>390</v>
      </c>
      <c r="B398" s="3" t="s">
        <v>295</v>
      </c>
      <c r="C398" s="3" t="s">
        <v>1018</v>
      </c>
      <c r="D398" s="3">
        <v>1</v>
      </c>
      <c r="E398" s="4">
        <v>50000000000</v>
      </c>
      <c r="F398" s="4">
        <v>0</v>
      </c>
      <c r="G398" s="4">
        <v>0</v>
      </c>
      <c r="H398" s="5">
        <f t="shared" si="146"/>
        <v>50000000000</v>
      </c>
      <c r="I398" s="4">
        <f t="shared" si="126"/>
        <v>50000000000</v>
      </c>
      <c r="J398" s="4">
        <v>0</v>
      </c>
      <c r="K398" s="4">
        <v>0</v>
      </c>
      <c r="L398" s="4">
        <v>0</v>
      </c>
      <c r="M398" s="4">
        <f t="shared" si="127"/>
        <v>50000000000</v>
      </c>
      <c r="N398" s="4">
        <v>0</v>
      </c>
      <c r="O398" s="4">
        <v>0</v>
      </c>
      <c r="P398" s="4">
        <v>0</v>
      </c>
      <c r="Q398" s="3" t="s">
        <v>1043</v>
      </c>
      <c r="T398" s="4">
        <f t="shared" si="122"/>
        <v>50000000000</v>
      </c>
      <c r="U398" s="4">
        <v>0</v>
      </c>
      <c r="V398" s="4">
        <v>0</v>
      </c>
      <c r="W398" s="4">
        <v>0</v>
      </c>
      <c r="X398" s="5">
        <f t="shared" si="147"/>
        <v>50000000000</v>
      </c>
      <c r="Y398" s="4">
        <f t="shared" si="145"/>
        <v>0</v>
      </c>
      <c r="Z398" s="4">
        <f t="shared" si="145"/>
        <v>0</v>
      </c>
      <c r="AB398" s="5">
        <f t="shared" si="137"/>
        <v>1</v>
      </c>
      <c r="AC398" s="3">
        <f t="shared" si="141"/>
        <v>50000000000</v>
      </c>
      <c r="AD398" s="4">
        <f t="shared" si="142"/>
        <v>0</v>
      </c>
      <c r="AE398" s="5">
        <f t="shared" si="143"/>
        <v>50000000000</v>
      </c>
      <c r="AF398" s="3" t="str">
        <f t="shared" si="144"/>
        <v>Y</v>
      </c>
      <c r="AH398" s="4">
        <f t="shared" si="123"/>
        <v>0</v>
      </c>
      <c r="AI398" s="4">
        <f t="shared" si="124"/>
        <v>0</v>
      </c>
    </row>
    <row r="399" spans="1:35">
      <c r="A399" s="3">
        <v>390</v>
      </c>
      <c r="B399" s="3" t="s">
        <v>297</v>
      </c>
      <c r="C399" s="3" t="s">
        <v>1018</v>
      </c>
      <c r="D399" s="3">
        <v>1</v>
      </c>
      <c r="E399" s="4">
        <v>100000000000</v>
      </c>
      <c r="F399" s="4">
        <v>0</v>
      </c>
      <c r="G399" s="4">
        <v>0</v>
      </c>
      <c r="H399" s="5">
        <f t="shared" si="146"/>
        <v>100000000000</v>
      </c>
      <c r="I399" s="4">
        <f t="shared" si="126"/>
        <v>100000000000</v>
      </c>
      <c r="J399" s="4">
        <v>0</v>
      </c>
      <c r="K399" s="4">
        <v>0</v>
      </c>
      <c r="L399" s="4">
        <v>0</v>
      </c>
      <c r="M399" s="4">
        <f t="shared" si="127"/>
        <v>100000000000</v>
      </c>
      <c r="N399" s="4">
        <v>0</v>
      </c>
      <c r="O399" s="4">
        <v>0</v>
      </c>
      <c r="P399" s="4">
        <v>0</v>
      </c>
      <c r="Q399" s="3" t="s">
        <v>1043</v>
      </c>
      <c r="T399" s="4">
        <f t="shared" si="122"/>
        <v>100000000000</v>
      </c>
      <c r="U399" s="4">
        <v>0</v>
      </c>
      <c r="V399" s="4">
        <v>0</v>
      </c>
      <c r="W399" s="4">
        <v>0</v>
      </c>
      <c r="X399" s="5">
        <f t="shared" si="147"/>
        <v>100000000000</v>
      </c>
      <c r="Y399" s="4">
        <f t="shared" si="145"/>
        <v>0</v>
      </c>
      <c r="Z399" s="4">
        <f t="shared" si="145"/>
        <v>0</v>
      </c>
      <c r="AB399" s="5">
        <f t="shared" si="137"/>
        <v>1</v>
      </c>
      <c r="AC399" s="3">
        <f t="shared" si="141"/>
        <v>100000000000</v>
      </c>
      <c r="AD399" s="4">
        <f t="shared" si="142"/>
        <v>0</v>
      </c>
      <c r="AE399" s="5">
        <f t="shared" si="143"/>
        <v>100000000000</v>
      </c>
      <c r="AF399" s="3" t="str">
        <f t="shared" si="144"/>
        <v>Y</v>
      </c>
      <c r="AH399" s="4">
        <f t="shared" si="123"/>
        <v>0</v>
      </c>
      <c r="AI399" s="4">
        <f t="shared" si="124"/>
        <v>0</v>
      </c>
    </row>
    <row r="400" spans="1:35">
      <c r="A400" s="3">
        <v>390</v>
      </c>
      <c r="B400" s="3" t="s">
        <v>295</v>
      </c>
      <c r="C400" s="3" t="s">
        <v>1018</v>
      </c>
      <c r="D400" s="3">
        <v>1</v>
      </c>
      <c r="E400" s="4">
        <v>50000000000</v>
      </c>
      <c r="F400" s="4">
        <v>0</v>
      </c>
      <c r="G400" s="4">
        <v>0</v>
      </c>
      <c r="H400" s="5">
        <f t="shared" si="146"/>
        <v>50000000000</v>
      </c>
      <c r="I400" s="4">
        <f t="shared" si="126"/>
        <v>50000000000</v>
      </c>
      <c r="J400" s="4">
        <v>0</v>
      </c>
      <c r="K400" s="4">
        <v>0</v>
      </c>
      <c r="L400" s="4">
        <v>0</v>
      </c>
      <c r="M400" s="4">
        <f t="shared" si="127"/>
        <v>50000000000</v>
      </c>
      <c r="N400" s="4">
        <v>0</v>
      </c>
      <c r="O400" s="4">
        <v>0</v>
      </c>
      <c r="P400" s="4">
        <v>0</v>
      </c>
      <c r="Q400" s="3" t="s">
        <v>1043</v>
      </c>
      <c r="T400" s="4">
        <f t="shared" si="122"/>
        <v>50000000000</v>
      </c>
      <c r="U400" s="4">
        <v>0</v>
      </c>
      <c r="V400" s="4">
        <v>0</v>
      </c>
      <c r="W400" s="4">
        <v>0</v>
      </c>
      <c r="X400" s="5">
        <f t="shared" si="147"/>
        <v>50000000000</v>
      </c>
      <c r="Y400" s="4">
        <f t="shared" si="145"/>
        <v>0</v>
      </c>
      <c r="Z400" s="4">
        <f t="shared" si="145"/>
        <v>0</v>
      </c>
      <c r="AB400" s="5">
        <f t="shared" si="137"/>
        <v>1</v>
      </c>
      <c r="AC400" s="3">
        <f t="shared" si="141"/>
        <v>50000000000</v>
      </c>
      <c r="AD400" s="4">
        <f t="shared" si="142"/>
        <v>0</v>
      </c>
      <c r="AE400" s="5">
        <f t="shared" si="143"/>
        <v>50000000000</v>
      </c>
      <c r="AF400" s="3" t="str">
        <f t="shared" si="144"/>
        <v>Y</v>
      </c>
      <c r="AH400" s="4">
        <f t="shared" si="123"/>
        <v>0</v>
      </c>
      <c r="AI400" s="4">
        <f t="shared" si="124"/>
        <v>0</v>
      </c>
    </row>
    <row r="401" spans="1:35">
      <c r="A401" s="3">
        <v>390</v>
      </c>
      <c r="B401" s="3" t="s">
        <v>310</v>
      </c>
      <c r="C401" s="3" t="s">
        <v>1018</v>
      </c>
      <c r="D401" s="3">
        <v>1</v>
      </c>
      <c r="E401" s="4">
        <v>10000000000</v>
      </c>
      <c r="F401" s="4">
        <v>0</v>
      </c>
      <c r="G401" s="4">
        <v>0</v>
      </c>
      <c r="H401" s="5">
        <f t="shared" si="146"/>
        <v>10000000000</v>
      </c>
      <c r="I401" s="4">
        <f t="shared" si="126"/>
        <v>10000000000</v>
      </c>
      <c r="J401" s="4">
        <v>0</v>
      </c>
      <c r="K401" s="4">
        <v>0</v>
      </c>
      <c r="L401" s="4">
        <v>0</v>
      </c>
      <c r="M401" s="4">
        <f t="shared" si="127"/>
        <v>10000000000</v>
      </c>
      <c r="N401" s="4">
        <v>0</v>
      </c>
      <c r="O401" s="4">
        <v>0</v>
      </c>
      <c r="P401" s="4">
        <v>0</v>
      </c>
      <c r="Q401" s="3" t="s">
        <v>1043</v>
      </c>
      <c r="T401" s="4">
        <f t="shared" si="122"/>
        <v>10000000000</v>
      </c>
      <c r="U401" s="4">
        <v>0</v>
      </c>
      <c r="V401" s="4">
        <v>0</v>
      </c>
      <c r="W401" s="4">
        <v>0</v>
      </c>
      <c r="X401" s="5">
        <f t="shared" si="147"/>
        <v>10000000000</v>
      </c>
      <c r="Y401" s="4">
        <f t="shared" si="145"/>
        <v>0</v>
      </c>
      <c r="Z401" s="4">
        <f t="shared" si="145"/>
        <v>0</v>
      </c>
      <c r="AB401" s="5">
        <f t="shared" si="137"/>
        <v>1</v>
      </c>
      <c r="AC401" s="3">
        <f t="shared" si="141"/>
        <v>10000000000</v>
      </c>
      <c r="AD401" s="4">
        <f t="shared" si="142"/>
        <v>0</v>
      </c>
      <c r="AE401" s="5">
        <f t="shared" si="143"/>
        <v>10000000000</v>
      </c>
      <c r="AF401" s="3" t="str">
        <f t="shared" si="144"/>
        <v>Y</v>
      </c>
      <c r="AH401" s="4">
        <f t="shared" si="123"/>
        <v>0</v>
      </c>
      <c r="AI401" s="4">
        <f t="shared" si="124"/>
        <v>0</v>
      </c>
    </row>
    <row r="402" spans="1:35">
      <c r="A402" s="3">
        <v>390</v>
      </c>
      <c r="B402" s="3" t="s">
        <v>310</v>
      </c>
      <c r="C402" s="3" t="s">
        <v>1018</v>
      </c>
      <c r="D402" s="3">
        <v>1</v>
      </c>
      <c r="E402" s="4">
        <v>10000000000</v>
      </c>
      <c r="F402" s="4">
        <v>0</v>
      </c>
      <c r="G402" s="4">
        <v>0</v>
      </c>
      <c r="H402" s="5">
        <f t="shared" si="146"/>
        <v>10000000000</v>
      </c>
      <c r="I402" s="4">
        <f t="shared" si="126"/>
        <v>10000000000</v>
      </c>
      <c r="J402" s="4">
        <v>0</v>
      </c>
      <c r="K402" s="4">
        <v>0</v>
      </c>
      <c r="L402" s="4">
        <v>0</v>
      </c>
      <c r="M402" s="4">
        <f t="shared" si="127"/>
        <v>10000000000</v>
      </c>
      <c r="N402" s="4">
        <v>0</v>
      </c>
      <c r="O402" s="4">
        <v>0</v>
      </c>
      <c r="P402" s="4">
        <v>0</v>
      </c>
      <c r="Q402" s="3" t="s">
        <v>1043</v>
      </c>
      <c r="T402" s="4">
        <f t="shared" si="122"/>
        <v>10000000000</v>
      </c>
      <c r="U402" s="4">
        <v>0</v>
      </c>
      <c r="V402" s="4">
        <v>0</v>
      </c>
      <c r="W402" s="4">
        <v>0</v>
      </c>
      <c r="X402" s="5">
        <f t="shared" si="147"/>
        <v>10000000000</v>
      </c>
      <c r="Y402" s="4">
        <f t="shared" si="145"/>
        <v>0</v>
      </c>
      <c r="Z402" s="4">
        <f t="shared" si="145"/>
        <v>0</v>
      </c>
      <c r="AB402" s="5">
        <f t="shared" si="137"/>
        <v>1</v>
      </c>
      <c r="AC402" s="3">
        <f t="shared" si="141"/>
        <v>10000000000</v>
      </c>
      <c r="AD402" s="4">
        <f t="shared" si="142"/>
        <v>0</v>
      </c>
      <c r="AE402" s="5">
        <f t="shared" si="143"/>
        <v>10000000000</v>
      </c>
      <c r="AF402" s="3" t="str">
        <f t="shared" si="144"/>
        <v>Y</v>
      </c>
      <c r="AH402" s="4">
        <f t="shared" si="123"/>
        <v>0</v>
      </c>
      <c r="AI402" s="4">
        <f t="shared" si="124"/>
        <v>0</v>
      </c>
    </row>
  </sheetData>
  <autoFilter ref="A2:AF402" xr:uid="{3F814663-D789-49D4-8A96-C6357CE08E03}"/>
  <pageMargins left="0.7" right="0.7" top="0.75" bottom="0.75" header="0.3" footer="0.3"/>
  <pageSetup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3B169-1E70-44B7-9586-BA7455B2F7D2}">
  <dimension ref="A1:D8"/>
  <sheetViews>
    <sheetView workbookViewId="0"/>
  </sheetViews>
  <sheetFormatPr defaultRowHeight="14.5"/>
  <sheetData>
    <row r="1" spans="1:4">
      <c r="A1">
        <v>1745205759576</v>
      </c>
      <c r="B1" t="s">
        <v>1044</v>
      </c>
      <c r="C1" t="s">
        <v>1045</v>
      </c>
      <c r="D1">
        <v>7</v>
      </c>
    </row>
    <row r="2" spans="1:4">
      <c r="A2">
        <v>1745205759744</v>
      </c>
      <c r="B2" t="s">
        <v>1046</v>
      </c>
      <c r="C2" t="s">
        <v>1047</v>
      </c>
      <c r="D2" t="s">
        <v>1048</v>
      </c>
    </row>
    <row r="3" spans="1:4">
      <c r="A3">
        <v>1745205759744</v>
      </c>
      <c r="B3" t="s">
        <v>1046</v>
      </c>
      <c r="C3" t="s">
        <v>1049</v>
      </c>
      <c r="D3" t="s">
        <v>1050</v>
      </c>
    </row>
    <row r="4" spans="1:4">
      <c r="A4">
        <v>1745205759744</v>
      </c>
      <c r="B4" t="s">
        <v>1046</v>
      </c>
      <c r="C4" t="s">
        <v>1051</v>
      </c>
      <c r="D4" t="s">
        <v>1052</v>
      </c>
    </row>
    <row r="5" spans="1:4">
      <c r="A5">
        <v>1745205759744</v>
      </c>
      <c r="B5" t="s">
        <v>1046</v>
      </c>
      <c r="C5" t="s">
        <v>1053</v>
      </c>
      <c r="D5" t="s">
        <v>1054</v>
      </c>
    </row>
    <row r="6" spans="1:4">
      <c r="A6">
        <v>1745205759744</v>
      </c>
      <c r="B6" t="s">
        <v>1046</v>
      </c>
      <c r="C6" t="s">
        <v>1055</v>
      </c>
      <c r="D6" t="s">
        <v>1056</v>
      </c>
    </row>
    <row r="7" spans="1:4">
      <c r="A7">
        <v>1745205759762</v>
      </c>
      <c r="B7" t="s">
        <v>1046</v>
      </c>
      <c r="C7" t="s">
        <v>1047</v>
      </c>
      <c r="D7" t="s">
        <v>1057</v>
      </c>
    </row>
    <row r="8" spans="1:4">
      <c r="A8">
        <v>1745205759763</v>
      </c>
      <c r="B8" t="s">
        <v>1046</v>
      </c>
      <c r="C8" t="s">
        <v>1051</v>
      </c>
      <c r="D8" t="s">
        <v>1058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0742-6107-431A-983B-59F09625869C}">
  <dimension ref="A1:D1"/>
  <sheetViews>
    <sheetView workbookViewId="0"/>
  </sheetViews>
  <sheetFormatPr defaultRowHeight="14.5"/>
  <sheetData>
    <row r="1" spans="1:4">
      <c r="A1">
        <v>1745205759637</v>
      </c>
      <c r="B1" t="s">
        <v>1044</v>
      </c>
      <c r="C1" t="s">
        <v>1045</v>
      </c>
      <c r="D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2ACF-2D31-49F9-9997-C3FB9E597C52}">
  <dimension ref="A1:D1"/>
  <sheetViews>
    <sheetView workbookViewId="0"/>
  </sheetViews>
  <sheetFormatPr defaultRowHeight="14.5"/>
  <sheetData>
    <row r="1" spans="1:4">
      <c r="A1">
        <v>1745205759687</v>
      </c>
      <c r="B1" t="s">
        <v>1044</v>
      </c>
      <c r="C1" t="s">
        <v>1045</v>
      </c>
      <c r="D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50FA3-0ED9-4242-8638-F0DF91AD02D1}">
  <dimension ref="A1:D1"/>
  <sheetViews>
    <sheetView workbookViewId="0"/>
  </sheetViews>
  <sheetFormatPr defaultRowHeight="14.5"/>
  <sheetData>
    <row r="1" spans="1:4">
      <c r="A1">
        <v>1745205759740</v>
      </c>
      <c r="B1" t="s">
        <v>1044</v>
      </c>
      <c r="C1" t="s">
        <v>1045</v>
      </c>
      <c r="D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datasnipper xmlns="http://datasnipperlegacy" workbookId="acc341a6-061f-414d-81f3-ab0b100d3464" dataSnipperSheetDeleted="false" guid="8d84444d-0e49-4070-9387-78c47d604720" revision="2">
  <settings xmlns="" guid="b2d0c008-696c-4453-8a69-55b917b77b5c">
    <setting type="boolean" value="True" name="embed-documents" guid="1a522372-0fcf-458d-9738-c526c5b5ed85"/>
  </settings>
</datasnipper>
</file>

<file path=customXml/item2.xml><?xml version="1.0" encoding="utf-8"?>
<datasnipper xmlns="http://datasnipper" xmlMigrated="true" guid="f4b29913-3f1a-4a41-a024-cc6bd5c21743" revision="3"/>
</file>

<file path=customXml/itemProps1.xml><?xml version="1.0" encoding="utf-8"?>
<ds:datastoreItem xmlns:ds="http://schemas.openxmlformats.org/officeDocument/2006/customXml" ds:itemID="{F57A157F-E5B9-477E-B9E9-6D89588E9970}">
  <ds:schemaRefs>
    <ds:schemaRef ds:uri="http://datasnipperlegacy"/>
    <ds:schemaRef ds:uri=""/>
  </ds:schemaRefs>
</ds:datastoreItem>
</file>

<file path=customXml/itemProps2.xml><?xml version="1.0" encoding="utf-8"?>
<ds:datastoreItem xmlns:ds="http://schemas.openxmlformats.org/officeDocument/2006/customXml" ds:itemID="{E3A542C4-50FC-42FC-9257-DED289D34CA1}">
  <ds:schemaRefs>
    <ds:schemaRef ds:uri="http://datasnipper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Accrued interest</vt:lpstr>
      <vt:lpstr>Book bút toán</vt:lpstr>
      <vt:lpstr>NTFS - Supporting</vt:lpstr>
      <vt:lpstr>Fair value 31.12.2023</vt:lpstr>
      <vt:lpstr>Amortised cost 31.12.2023</vt:lpstr>
      <vt:lpstr>Sheet6</vt:lpstr>
      <vt:lpstr>Sheet5</vt:lpstr>
      <vt:lpstr>Mua bán trong năm</vt:lpstr>
      <vt:lpstr>NTFS</vt:lpstr>
      <vt:lpstr>Sheet2</vt:lpstr>
      <vt:lpstr>AC 31.12.2022</vt:lpstr>
      <vt:lpstr>Sheet1</vt:lpstr>
      <vt:lpstr>EIR</vt:lpstr>
      <vt:lpstr>Mua bán - filtered</vt:lpstr>
      <vt:lpstr>121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Huyen Ngoc Nguyen</dc:creator>
  <cp:keywords/>
  <dc:description/>
  <cp:lastModifiedBy>Vu Long Nguyen</cp:lastModifiedBy>
  <cp:revision/>
  <dcterms:created xsi:type="dcterms:W3CDTF">2024-04-15T07:18:33Z</dcterms:created>
  <dcterms:modified xsi:type="dcterms:W3CDTF">2025-04-21T06:50:15Z</dcterms:modified>
  <cp:category/>
  <cp:contentStatus/>
</cp:coreProperties>
</file>