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xr:revisionPtr revIDLastSave="0" documentId="13_ncr:1_{ACBB840E-5A56-460D-AECA-9BACD042B216}" xr6:coauthVersionLast="47" xr6:coauthVersionMax="47" xr10:uidLastSave="{00000000-0000-0000-0000-000000000000}"/>
  <bookViews>
    <workbookView xWindow="-108" yWindow="-108" windowWidth="23256" windowHeight="13176" xr2:uid="{41BB608D-A3B5-4573-A2A8-FEE7DF482D01}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definedNames>
    <definedName name="_xlnm._FilterDatabase" localSheetId="0" hidden="1">'b1'!$A$5:$G$20</definedName>
    <definedName name="_xlnm._FilterDatabase" localSheetId="1" hidden="1">'b2'!$A$2:$G$20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K3" i="5"/>
  <c r="K4" i="5"/>
  <c r="K5" i="5"/>
  <c r="K6" i="5"/>
  <c r="K7" i="5"/>
  <c r="K8" i="5"/>
  <c r="K9" i="5"/>
  <c r="K10" i="5"/>
  <c r="K11" i="5"/>
  <c r="K12" i="5"/>
  <c r="K13" i="5"/>
  <c r="H3" i="5"/>
  <c r="H4" i="5"/>
  <c r="H5" i="5"/>
  <c r="H6" i="5"/>
  <c r="H7" i="5"/>
  <c r="H8" i="5"/>
  <c r="H9" i="5"/>
  <c r="H10" i="5"/>
  <c r="H11" i="5"/>
  <c r="H12" i="5"/>
  <c r="H13" i="5"/>
  <c r="F4" i="5"/>
  <c r="F5" i="5"/>
  <c r="F6" i="5"/>
  <c r="F7" i="5"/>
  <c r="F8" i="5"/>
  <c r="F9" i="5"/>
  <c r="F10" i="5"/>
  <c r="F11" i="5"/>
  <c r="F12" i="5"/>
  <c r="F13" i="5"/>
  <c r="F3" i="5"/>
  <c r="I4" i="4"/>
  <c r="I5" i="4"/>
  <c r="I6" i="4"/>
  <c r="I7" i="4"/>
  <c r="I8" i="4"/>
  <c r="I9" i="4"/>
  <c r="I10" i="4"/>
  <c r="I11" i="4"/>
  <c r="I12" i="4"/>
  <c r="I13" i="4"/>
  <c r="I3" i="4"/>
  <c r="H4" i="4"/>
  <c r="H5" i="4"/>
  <c r="H6" i="4"/>
  <c r="H7" i="4"/>
  <c r="H8" i="4"/>
  <c r="H9" i="4"/>
  <c r="H10" i="4"/>
  <c r="H11" i="4"/>
  <c r="H12" i="4"/>
  <c r="H13" i="4"/>
  <c r="H3" i="4"/>
  <c r="G4" i="4"/>
  <c r="G5" i="4"/>
  <c r="G6" i="4"/>
  <c r="G7" i="4"/>
  <c r="G8" i="4"/>
  <c r="G9" i="4"/>
  <c r="G10" i="4"/>
  <c r="G11" i="4"/>
  <c r="G12" i="4"/>
  <c r="G13" i="4"/>
  <c r="G3" i="4"/>
  <c r="F4" i="4"/>
  <c r="F5" i="4"/>
  <c r="F6" i="4"/>
  <c r="F7" i="4"/>
  <c r="F8" i="4"/>
  <c r="F9" i="4"/>
  <c r="F10" i="4"/>
  <c r="F11" i="4"/>
  <c r="F12" i="4"/>
  <c r="F13" i="4"/>
  <c r="F3" i="4"/>
  <c r="F21" i="3"/>
  <c r="G21" i="3"/>
  <c r="H21" i="3"/>
  <c r="I21" i="3"/>
  <c r="J21" i="3"/>
  <c r="F20" i="3"/>
  <c r="G20" i="3"/>
  <c r="H20" i="3"/>
  <c r="I20" i="3"/>
  <c r="J20" i="3"/>
  <c r="I19" i="3"/>
  <c r="H19" i="3"/>
  <c r="G19" i="3"/>
  <c r="F19" i="3"/>
  <c r="J19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L4" i="3"/>
  <c r="E4" i="3" s="1"/>
  <c r="L5" i="3"/>
  <c r="E5" i="3" s="1"/>
  <c r="L6" i="3"/>
  <c r="E6" i="3" s="1"/>
  <c r="L7" i="3"/>
  <c r="E7" i="3" s="1"/>
  <c r="L8" i="3"/>
  <c r="E8" i="3" s="1"/>
  <c r="L9" i="3"/>
  <c r="E9" i="3" s="1"/>
  <c r="L10" i="3"/>
  <c r="E10" i="3" s="1"/>
  <c r="L11" i="3"/>
  <c r="E11" i="3" s="1"/>
  <c r="L12" i="3"/>
  <c r="E12" i="3" s="1"/>
  <c r="L13" i="3"/>
  <c r="E13" i="3" s="1"/>
  <c r="L14" i="3"/>
  <c r="E14" i="3" s="1"/>
  <c r="L15" i="3"/>
  <c r="E15" i="3" s="1"/>
  <c r="L16" i="3"/>
  <c r="E16" i="3" s="1"/>
  <c r="L17" i="3"/>
  <c r="E17" i="3" s="1"/>
  <c r="L3" i="3"/>
  <c r="E3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3" i="3"/>
  <c r="O22" i="2"/>
  <c r="O21" i="2"/>
  <c r="O20" i="2"/>
  <c r="O19" i="2"/>
  <c r="O18" i="2"/>
  <c r="N22" i="2"/>
  <c r="N21" i="2"/>
  <c r="N20" i="2"/>
  <c r="N19" i="2"/>
  <c r="N18" i="2"/>
  <c r="M22" i="2"/>
  <c r="M21" i="2"/>
  <c r="M20" i="2"/>
  <c r="M19" i="2"/>
  <c r="M18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3" i="2"/>
  <c r="G3" i="2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J21" i="2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  <c r="E21" i="3" l="1"/>
  <c r="E20" i="3"/>
  <c r="E19" i="3"/>
  <c r="J19" i="2"/>
  <c r="J22" i="2"/>
  <c r="J18" i="2"/>
  <c r="J20" i="2"/>
  <c r="K6" i="2"/>
  <c r="L6" i="2" s="1"/>
  <c r="K4" i="2"/>
  <c r="L4" i="2" s="1"/>
  <c r="K5" i="2"/>
  <c r="L5" i="2" s="1"/>
  <c r="K3" i="2"/>
  <c r="L3" i="2" s="1"/>
  <c r="M3" i="2" l="1"/>
  <c r="N3" i="2" s="1"/>
  <c r="M5" i="2"/>
  <c r="N5" i="2"/>
  <c r="M4" i="2"/>
  <c r="N4" i="2" s="1"/>
  <c r="M6" i="2"/>
  <c r="N6" i="2" s="1"/>
</calcChain>
</file>

<file path=xl/sharedStrings.xml><?xml version="1.0" encoding="utf-8"?>
<sst xmlns="http://schemas.openxmlformats.org/spreadsheetml/2006/main" count="309" uniqueCount="260">
  <si>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</si>
  <si>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</si>
  <si>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</si>
  <si>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</si>
  <si>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</si>
  <si>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</si>
  <si>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</si>
  <si>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</si>
  <si>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</si>
  <si>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</si>
  <si>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trần vinh</t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</si>
  <si>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</si>
  <si>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</si>
  <si>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</si>
  <si>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</si>
  <si>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</si>
  <si>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lê vinh</t>
  </si>
  <si>
    <t>TR</t>
  </si>
  <si>
    <t>Trần Đại Nghĩa</t>
  </si>
  <si>
    <t>Trung Bình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</si>
  <si>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</si>
  <si>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phạm quân</t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</si>
  <si>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</si>
  <si>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</si>
  <si>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</si>
  <si>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</si>
  <si>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trần quân</t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</si>
  <si>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</si>
  <si>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</si>
  <si>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</si>
  <si>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</si>
  <si>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lê hoàng</t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</si>
  <si>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</si>
  <si>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</si>
  <si>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</si>
  <si>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</si>
  <si>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</si>
  <si>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</si>
  <si>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</si>
  <si>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lê quân</t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</si>
  <si>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</si>
  <si>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</si>
  <si>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</si>
  <si>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lê viên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</si>
  <si>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</si>
  <si>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lê văn</t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</si>
  <si>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</si>
  <si>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</si>
  <si>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lê thuý</t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</si>
  <si>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</si>
  <si>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</si>
  <si>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</si>
  <si>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</si>
  <si>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</si>
  <si>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</si>
  <si>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</si>
  <si>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</si>
  <si>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t>phạm vinh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</si>
  <si>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</si>
  <si>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t>trần my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</si>
  <si>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</si>
  <si>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</si>
  <si>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lê nguyễn</t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</si>
  <si>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</si>
  <si>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</si>
  <si>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</si>
  <si>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</si>
  <si>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</si>
  <si>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</si>
  <si>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</si>
  <si>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</si>
  <si>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</si>
  <si>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</si>
  <si>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</si>
  <si>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</si>
  <si>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</si>
  <si>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</si>
  <si>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</si>
  <si>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</si>
  <si>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</si>
  <si>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</si>
  <si>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</si>
  <si>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</si>
  <si>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</si>
  <si>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</si>
  <si>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</si>
  <si>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</si>
  <si>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</si>
  <si>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</si>
  <si>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</si>
  <si>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</si>
  <si>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</si>
  <si>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</si>
  <si>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</si>
  <si>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</si>
  <si>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</si>
  <si>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</si>
  <si>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</si>
  <si>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</si>
  <si>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</si>
  <si>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</si>
  <si>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</si>
  <si>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</si>
  <si>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</si>
  <si>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</si>
  <si>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</si>
  <si>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</si>
  <si>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</si>
  <si>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</si>
  <si>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</si>
  <si>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</si>
  <si>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</si>
  <si>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</si>
  <si>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</si>
  <si>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</si>
  <si>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</si>
  <si>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</si>
  <si>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</si>
  <si>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</si>
  <si>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</si>
  <si>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</si>
  <si>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</si>
  <si>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</si>
  <si>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</si>
  <si>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</si>
  <si>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</si>
  <si>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</si>
  <si>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</si>
  <si>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</si>
  <si>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</si>
  <si>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</si>
  <si>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</si>
  <si>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</si>
  <si>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</si>
  <si>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</si>
  <si>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</si>
  <si>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</si>
  <si>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</si>
  <si>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</si>
  <si>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</si>
  <si>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</si>
  <si>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</si>
  <si>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</si>
  <si>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</si>
  <si>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</si>
  <si>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</si>
  <si>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</si>
  <si>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</si>
  <si>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</si>
  <si>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</si>
  <si>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</si>
  <si>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</si>
  <si>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</si>
  <si>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</si>
  <si>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nguyễn văn tâm</t>
  </si>
  <si>
    <t>nguyễn thị hằng</t>
  </si>
  <si>
    <t>ngô thị nga</t>
  </si>
  <si>
    <t>trần thiên thu</t>
  </si>
  <si>
    <t>lâm hoàng cát</t>
  </si>
  <si>
    <t>lê hoài sơn</t>
  </si>
  <si>
    <t>lý lâm</t>
  </si>
  <si>
    <t>trần văn trung</t>
  </si>
  <si>
    <t>nguyễn văn tráng</t>
  </si>
  <si>
    <t>lý thu nga</t>
  </si>
  <si>
    <t>nguyễn văn hùng</t>
  </si>
  <si>
    <t>trần thi phượng</t>
  </si>
  <si>
    <t>võ công thành</t>
  </si>
  <si>
    <t>lê văn minh</t>
  </si>
  <si>
    <t>doãn hòa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</si>
  <si>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</si>
  <si>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</si>
  <si>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</si>
  <si>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</si>
  <si>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</si>
  <si>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</si>
  <si>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</si>
  <si>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</si>
  <si>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</si>
  <si>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</si>
  <si>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</si>
  <si>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</si>
  <si>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</si>
  <si>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</si>
  <si>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</si>
  <si>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</si>
  <si>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</si>
  <si>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</si>
  <si>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</si>
  <si>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</si>
  <si>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</si>
  <si>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</si>
  <si>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</si>
  <si>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</si>
  <si>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</si>
  <si>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</si>
  <si>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</si>
  <si>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</si>
  <si>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</si>
  <si>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</si>
  <si>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</si>
  <si>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</si>
  <si>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</si>
  <si>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</si>
  <si>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</si>
  <si>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</si>
  <si>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</si>
  <si>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</si>
  <si>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</si>
  <si>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</si>
  <si>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</si>
  <si>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</si>
  <si>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</si>
  <si>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</si>
  <si>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</si>
  <si>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</si>
  <si>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</si>
  <si>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</si>
  <si>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</si>
  <si>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</si>
  <si>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</si>
  <si>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</si>
  <si>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</si>
  <si>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</si>
  <si>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</si>
  <si>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</si>
  <si>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</si>
  <si>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</si>
  <si>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</si>
  <si>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</si>
  <si>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</si>
  <si>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</si>
  <si>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</si>
  <si>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</si>
  <si>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</si>
  <si>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</si>
  <si>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</si>
  <si>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</si>
  <si>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</si>
  <si>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</si>
  <si>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</si>
  <si>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</si>
  <si>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diểm tháp nhất</t>
  </si>
  <si>
    <t>C</t>
  </si>
  <si>
    <t>B</t>
  </si>
  <si>
    <t>A</t>
  </si>
  <si>
    <t xml:space="preserve">                                                                                       </t>
  </si>
  <si>
    <t>Trần Vinh</t>
  </si>
  <si>
    <t>Lê Thuý</t>
  </si>
  <si>
    <t>NK52TH</t>
  </si>
  <si>
    <t>NK73TO</t>
  </si>
  <si>
    <t>LÊ HẢI DƯƠNG - K21PF03</t>
  </si>
  <si>
    <t>11</t>
  </si>
  <si>
    <t>44</t>
  </si>
  <si>
    <t>22</t>
  </si>
  <si>
    <t>33</t>
  </si>
  <si>
    <t>0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</si>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</sst>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.##0.00_);_(* \(#.##0.00\);_(* &quot;-&quot;??_);_(@_)"/>
    <numFmt numFmtId="165" formatCode="_(* #,##0_);_(* \(#,##0\);_(* &quot;-&quot;??_);_(@_)"/>
    <numFmt numFmtId="166" formatCode="000\-00\-0000"/>
    <numFmt numFmtId="167" formatCode="#,##0\ [$₫-42A];\-#,##0\ [$₫-42A]"/>
    <numFmt numFmtId="168" formatCode="#,##0\ [$₫-42A]"/>
    <numFmt numFmtId="170" formatCode="dd/mm/yyyy"/>
  </numFmts>
  <fonts count="40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0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i/>
      <sz val="13"/>
      <name val="Times New Roman"/>
      <family val="1"/>
    </font>
    <font>
      <i/>
      <u/>
      <sz val="13"/>
      <name val="Times New Roman"/>
      <family val="1"/>
    </font>
    <font>
      <i/>
      <sz val="14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8" fillId="0" borderId="0"/>
    <xf numFmtId="164" fontId="12" fillId="0" borderId="0" applyFont="0" applyFill="0" applyBorder="0" applyAlignment="0" applyProtection="0"/>
    <xf numFmtId="0" fontId="17" fillId="0" borderId="27" applyNumberFormat="0" applyFill="0" applyAlignment="0" applyProtection="0"/>
    <xf numFmtId="0" fontId="18" fillId="0" borderId="28" applyNumberFormat="0" applyFill="0" applyAlignment="0" applyProtection="0"/>
    <xf numFmtId="0" fontId="32" fillId="0" borderId="0"/>
  </cellStyleXfs>
  <cellXfs count="15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2" fillId="0" borderId="7" xfId="0" applyFont="1" applyBorder="1"/>
    <xf numFmtId="0" fontId="1" fillId="0" borderId="6" xfId="0" applyFont="1" applyBorder="1"/>
    <xf numFmtId="49" fontId="1" fillId="0" borderId="6" xfId="0" applyNumberFormat="1" applyFont="1" applyBorder="1" applyAlignment="1">
      <alignment horizontal="center"/>
    </xf>
    <xf numFmtId="0" fontId="1" fillId="0" borderId="8" xfId="0" applyFont="1" applyBorder="1"/>
    <xf numFmtId="0" fontId="2" fillId="0" borderId="9" xfId="0" applyFont="1" applyBorder="1"/>
    <xf numFmtId="49" fontId="1" fillId="0" borderId="8" xfId="0" applyNumberFormat="1" applyFont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 vertical="center"/>
    </xf>
    <xf numFmtId="0" fontId="2" fillId="0" borderId="14" xfId="0" applyFont="1" applyBorder="1"/>
    <xf numFmtId="0" fontId="6" fillId="0" borderId="0" xfId="0" applyFont="1"/>
    <xf numFmtId="0" fontId="7" fillId="0" borderId="0" xfId="0" applyFont="1"/>
    <xf numFmtId="0" fontId="10" fillId="0" borderId="0" xfId="1" applyFont="1"/>
    <xf numFmtId="0" fontId="11" fillId="0" borderId="1" xfId="1" applyFont="1" applyBorder="1"/>
    <xf numFmtId="165" fontId="11" fillId="0" borderId="17" xfId="2" applyNumberFormat="1" applyFont="1" applyFill="1" applyBorder="1"/>
    <xf numFmtId="0" fontId="11" fillId="10" borderId="2" xfId="1" applyFont="1" applyFill="1" applyBorder="1" applyAlignment="1">
      <alignment horizontal="center" vertical="center" wrapText="1"/>
    </xf>
    <xf numFmtId="0" fontId="11" fillId="10" borderId="18" xfId="1" applyFont="1" applyFill="1" applyBorder="1" applyAlignment="1">
      <alignment horizontal="center" vertical="center" wrapText="1"/>
    </xf>
    <xf numFmtId="0" fontId="11" fillId="10" borderId="19" xfId="1" applyFont="1" applyFill="1" applyBorder="1" applyAlignment="1">
      <alignment horizontal="center" vertical="center"/>
    </xf>
    <xf numFmtId="0" fontId="11" fillId="10" borderId="3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3" xfId="1" applyFont="1" applyBorder="1" applyAlignment="1">
      <alignment horizontal="center"/>
    </xf>
    <xf numFmtId="0" fontId="10" fillId="0" borderId="13" xfId="1" applyFont="1" applyBorder="1"/>
    <xf numFmtId="165" fontId="10" fillId="0" borderId="13" xfId="1" applyNumberFormat="1" applyFont="1" applyBorder="1"/>
    <xf numFmtId="0" fontId="10" fillId="0" borderId="6" xfId="1" applyFont="1" applyBorder="1"/>
    <xf numFmtId="165" fontId="10" fillId="0" borderId="20" xfId="2" applyNumberFormat="1" applyFont="1" applyFill="1" applyBorder="1"/>
    <xf numFmtId="165" fontId="10" fillId="0" borderId="7" xfId="1" applyNumberFormat="1" applyFont="1" applyBorder="1"/>
    <xf numFmtId="0" fontId="10" fillId="0" borderId="8" xfId="1" applyFont="1" applyBorder="1"/>
    <xf numFmtId="0" fontId="11" fillId="10" borderId="6" xfId="1" applyFont="1" applyFill="1" applyBorder="1" applyAlignment="1">
      <alignment horizontal="center"/>
    </xf>
    <xf numFmtId="0" fontId="11" fillId="10" borderId="13" xfId="1" applyFont="1" applyFill="1" applyBorder="1" applyAlignment="1">
      <alignment horizontal="center"/>
    </xf>
    <xf numFmtId="0" fontId="11" fillId="10" borderId="7" xfId="1" applyFont="1" applyFill="1" applyBorder="1" applyAlignment="1">
      <alignment horizontal="center"/>
    </xf>
    <xf numFmtId="0" fontId="10" fillId="0" borderId="7" xfId="1" applyFont="1" applyBorder="1"/>
    <xf numFmtId="0" fontId="10" fillId="0" borderId="8" xfId="1" applyFont="1" applyBorder="1" applyAlignment="1">
      <alignment horizontal="center" shrinkToFit="1"/>
    </xf>
    <xf numFmtId="0" fontId="10" fillId="0" borderId="14" xfId="1" applyFont="1" applyBorder="1" applyAlignment="1">
      <alignment horizontal="center" shrinkToFit="1"/>
    </xf>
    <xf numFmtId="0" fontId="10" fillId="0" borderId="9" xfId="1" applyFont="1" applyBorder="1" applyAlignment="1">
      <alignment horizontal="center" shrinkToFit="1"/>
    </xf>
    <xf numFmtId="165" fontId="10" fillId="0" borderId="0" xfId="2" applyNumberFormat="1" applyFont="1" applyFill="1" applyBorder="1"/>
    <xf numFmtId="0" fontId="10" fillId="0" borderId="14" xfId="1" applyFont="1" applyBorder="1"/>
    <xf numFmtId="0" fontId="10" fillId="0" borderId="9" xfId="1" applyFont="1" applyBorder="1"/>
    <xf numFmtId="0" fontId="13" fillId="0" borderId="24" xfId="1" applyFont="1" applyBorder="1"/>
    <xf numFmtId="0" fontId="14" fillId="0" borderId="25" xfId="1" applyFont="1" applyBorder="1"/>
    <xf numFmtId="0" fontId="10" fillId="0" borderId="26" xfId="1" applyFont="1" applyBorder="1"/>
    <xf numFmtId="0" fontId="14" fillId="0" borderId="26" xfId="1" applyFont="1" applyBorder="1"/>
    <xf numFmtId="0" fontId="10" fillId="0" borderId="25" xfId="1" applyFont="1" applyBorder="1"/>
    <xf numFmtId="0" fontId="10" fillId="0" borderId="2" xfId="1" applyFont="1" applyBorder="1"/>
    <xf numFmtId="0" fontId="11" fillId="8" borderId="18" xfId="1" applyFont="1" applyFill="1" applyBorder="1" applyAlignment="1">
      <alignment horizontal="center" shrinkToFit="1"/>
    </xf>
    <xf numFmtId="0" fontId="11" fillId="8" borderId="3" xfId="1" applyFont="1" applyFill="1" applyBorder="1" applyAlignment="1">
      <alignment horizontal="center" shrinkToFit="1"/>
    </xf>
    <xf numFmtId="0" fontId="10" fillId="8" borderId="6" xfId="1" applyFont="1" applyFill="1" applyBorder="1"/>
    <xf numFmtId="0" fontId="15" fillId="0" borderId="0" xfId="1" applyFont="1"/>
    <xf numFmtId="0" fontId="10" fillId="8" borderId="8" xfId="1" applyFont="1" applyFill="1" applyBorder="1"/>
    <xf numFmtId="0" fontId="2" fillId="0" borderId="0" xfId="1" applyFont="1"/>
    <xf numFmtId="0" fontId="6" fillId="0" borderId="0" xfId="1" applyFont="1"/>
    <xf numFmtId="0" fontId="8" fillId="0" borderId="0" xfId="1"/>
    <xf numFmtId="0" fontId="8" fillId="0" borderId="0" xfId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0" fillId="11" borderId="13" xfId="0" applyFont="1" applyFill="1" applyBorder="1" applyAlignment="1">
      <alignment horizontal="center" vertical="center" wrapText="1"/>
    </xf>
    <xf numFmtId="0" fontId="21" fillId="0" borderId="13" xfId="0" applyFont="1" applyBorder="1"/>
    <xf numFmtId="0" fontId="20" fillId="0" borderId="13" xfId="0" applyFont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18" fillId="0" borderId="28" xfId="4" applyAlignment="1">
      <alignment horizontal="center"/>
    </xf>
    <xf numFmtId="0" fontId="25" fillId="0" borderId="13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34" fillId="0" borderId="0" xfId="5" applyFont="1"/>
    <xf numFmtId="0" fontId="35" fillId="8" borderId="2" xfId="5" applyFont="1" applyFill="1" applyBorder="1" applyAlignment="1">
      <alignment horizontal="center" vertical="center" wrapText="1"/>
    </xf>
    <xf numFmtId="0" fontId="35" fillId="8" borderId="18" xfId="5" applyFont="1" applyFill="1" applyBorder="1" applyAlignment="1">
      <alignment horizontal="center" vertical="center" wrapText="1"/>
    </xf>
    <xf numFmtId="0" fontId="35" fillId="8" borderId="3" xfId="5" applyFont="1" applyFill="1" applyBorder="1" applyAlignment="1">
      <alignment horizontal="center" vertical="center" wrapText="1"/>
    </xf>
    <xf numFmtId="0" fontId="34" fillId="0" borderId="6" xfId="5" applyFont="1" applyBorder="1"/>
    <xf numFmtId="166" fontId="34" fillId="0" borderId="13" xfId="5" applyNumberFormat="1" applyFont="1" applyBorder="1"/>
    <xf numFmtId="0" fontId="34" fillId="0" borderId="13" xfId="5" applyFont="1" applyBorder="1"/>
    <xf numFmtId="0" fontId="34" fillId="0" borderId="7" xfId="5" applyFont="1" applyBorder="1"/>
    <xf numFmtId="0" fontId="34" fillId="0" borderId="8" xfId="5" applyFont="1" applyBorder="1"/>
    <xf numFmtId="166" fontId="34" fillId="0" borderId="14" xfId="5" applyNumberFormat="1" applyFont="1" applyBorder="1"/>
    <xf numFmtId="0" fontId="34" fillId="0" borderId="14" xfId="5" applyFont="1" applyBorder="1"/>
    <xf numFmtId="0" fontId="34" fillId="0" borderId="2" xfId="5" applyFont="1" applyBorder="1"/>
    <xf numFmtId="9" fontId="35" fillId="0" borderId="18" xfId="5" applyNumberFormat="1" applyFont="1" applyBorder="1"/>
    <xf numFmtId="9" fontId="35" fillId="0" borderId="3" xfId="5" applyNumberFormat="1" applyFont="1" applyBorder="1"/>
    <xf numFmtId="0" fontId="35" fillId="0" borderId="32" xfId="5" applyFont="1" applyBorder="1"/>
    <xf numFmtId="0" fontId="34" fillId="0" borderId="9" xfId="5" applyFont="1" applyBorder="1"/>
    <xf numFmtId="0" fontId="2" fillId="7" borderId="13" xfId="0" applyFont="1" applyFill="1" applyBorder="1"/>
    <xf numFmtId="14" fontId="2" fillId="4" borderId="13" xfId="0" applyNumberFormat="1" applyFont="1" applyFill="1" applyBorder="1"/>
    <xf numFmtId="0" fontId="0" fillId="0" borderId="0" xfId="0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" fontId="2" fillId="4" borderId="13" xfId="0" applyNumberFormat="1" applyFont="1" applyFill="1" applyBorder="1"/>
    <xf numFmtId="0" fontId="10" fillId="0" borderId="13" xfId="2" applyNumberFormat="1" applyFont="1" applyFill="1" applyBorder="1"/>
    <xf numFmtId="0" fontId="10" fillId="0" borderId="14" xfId="2" applyNumberFormat="1" applyFont="1" applyFill="1" applyBorder="1"/>
    <xf numFmtId="167" fontId="10" fillId="0" borderId="13" xfId="1" applyNumberFormat="1" applyFont="1" applyBorder="1"/>
    <xf numFmtId="0" fontId="1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9" fillId="0" borderId="16" xfId="1" applyFont="1" applyBorder="1" applyAlignment="1">
      <alignment horizontal="center"/>
    </xf>
    <xf numFmtId="0" fontId="11" fillId="10" borderId="2" xfId="1" applyFont="1" applyFill="1" applyBorder="1" applyAlignment="1">
      <alignment horizontal="center"/>
    </xf>
    <xf numFmtId="0" fontId="11" fillId="10" borderId="18" xfId="1" applyFont="1" applyFill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11" fillId="10" borderId="21" xfId="1" applyFont="1" applyFill="1" applyBorder="1" applyAlignment="1">
      <alignment horizontal="center"/>
    </xf>
    <xf numFmtId="0" fontId="11" fillId="10" borderId="22" xfId="1" applyFont="1" applyFill="1" applyBorder="1" applyAlignment="1">
      <alignment horizontal="center"/>
    </xf>
    <xf numFmtId="0" fontId="11" fillId="10" borderId="23" xfId="1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20" fillId="0" borderId="13" xfId="0" applyFont="1" applyBorder="1" applyAlignment="1">
      <alignment horizontal="center" vertical="center"/>
    </xf>
    <xf numFmtId="0" fontId="24" fillId="0" borderId="27" xfId="3" applyFont="1" applyAlignment="1">
      <alignment horizontal="center"/>
    </xf>
    <xf numFmtId="0" fontId="33" fillId="0" borderId="29" xfId="5" applyFont="1" applyBorder="1" applyAlignment="1">
      <alignment horizontal="center"/>
    </xf>
    <xf numFmtId="0" fontId="35" fillId="0" borderId="30" xfId="5" applyFont="1" applyBorder="1" applyAlignment="1">
      <alignment horizontal="center" wrapText="1"/>
    </xf>
    <xf numFmtId="0" fontId="35" fillId="0" borderId="31" xfId="5" applyFont="1" applyBorder="1" applyAlignment="1">
      <alignment horizontal="center"/>
    </xf>
    <xf numFmtId="0" fontId="36" fillId="8" borderId="15" xfId="5" applyFont="1" applyFill="1" applyBorder="1" applyAlignment="1">
      <alignment horizontal="center"/>
    </xf>
    <xf numFmtId="0" fontId="36" fillId="8" borderId="20" xfId="5" applyFont="1" applyFill="1" applyBorder="1" applyAlignment="1">
      <alignment horizontal="center"/>
    </xf>
    <xf numFmtId="0" fontId="37" fillId="0" borderId="0" xfId="0" applyFont="1"/>
    <xf numFmtId="49" fontId="10" fillId="0" borderId="6" xfId="1" applyNumberFormat="1" applyFont="1" applyBorder="1" applyAlignment="1">
      <alignment horizontal="center" vertical="center"/>
    </xf>
    <xf numFmtId="49" fontId="10" fillId="0" borderId="8" xfId="1" applyNumberFormat="1" applyFont="1" applyBorder="1" applyAlignment="1">
      <alignment horizontal="center" vertical="center"/>
    </xf>
    <xf numFmtId="49" fontId="10" fillId="0" borderId="6" xfId="1" quotePrefix="1" applyNumberFormat="1" applyFont="1" applyBorder="1" applyAlignment="1">
      <alignment horizontal="center" vertical="center"/>
    </xf>
    <xf numFmtId="167" fontId="2" fillId="0" borderId="0" xfId="1" applyNumberFormat="1" applyFont="1"/>
    <xf numFmtId="168" fontId="10" fillId="0" borderId="13" xfId="1" applyNumberFormat="1" applyFont="1" applyBorder="1"/>
    <xf numFmtId="167" fontId="10" fillId="0" borderId="7" xfId="1" applyNumberFormat="1" applyFont="1" applyBorder="1"/>
    <xf numFmtId="170" fontId="21" fillId="0" borderId="13" xfId="0" applyNumberFormat="1" applyFont="1" applyBorder="1"/>
    <xf numFmtId="14" fontId="0" fillId="0" borderId="0" xfId="0" applyNumberFormat="1"/>
    <xf numFmtId="1" fontId="21" fillId="0" borderId="13" xfId="0" applyNumberFormat="1" applyFont="1" applyBorder="1"/>
    <xf numFmtId="0" fontId="21" fillId="0" borderId="13" xfId="0" applyFont="1" applyBorder="1" applyAlignment="1">
      <alignment horizontal="center"/>
    </xf>
    <xf numFmtId="1" fontId="20" fillId="0" borderId="13" xfId="0" applyNumberFormat="1" applyFont="1" applyBorder="1" applyAlignment="1">
      <alignment horizontal="center" vertical="center"/>
    </xf>
    <xf numFmtId="2" fontId="25" fillId="0" borderId="13" xfId="0" applyNumberFormat="1" applyFont="1" applyBorder="1"/>
    <xf numFmtId="0" fontId="39" fillId="0" borderId="13" xfId="0" applyFont="1" applyBorder="1" applyAlignment="1">
      <alignment horizontal="center"/>
    </xf>
    <xf numFmtId="0" fontId="18" fillId="0" borderId="28" xfId="4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5" fillId="0" borderId="13" xfId="0" applyFont="1" applyBorder="1" applyAlignment="1">
      <alignment horizontal="center"/>
    </xf>
    <xf numFmtId="2" fontId="34" fillId="0" borderId="13" xfId="5" applyNumberFormat="1" applyFont="1" applyBorder="1"/>
    <xf numFmtId="0" fontId="34" fillId="0" borderId="13" xfId="5" quotePrefix="1" applyFont="1" applyBorder="1"/>
    <xf numFmtId="1" fontId="34" fillId="0" borderId="0" xfId="5" applyNumberFormat="1" applyFont="1"/>
    <xf numFmtId="0" fontId="35" fillId="0" borderId="13" xfId="5" quotePrefix="1" applyFont="1" applyBorder="1" applyAlignment="1">
      <alignment horizontal="center"/>
    </xf>
    <xf numFmtId="1" fontId="34" fillId="0" borderId="0" xfId="5" quotePrefix="1" applyNumberFormat="1" applyFont="1"/>
  </cellXfs>
  <cellStyles count="6">
    <cellStyle name="Comma 2" xfId="2" xr:uid="{B9488BC9-AE48-482E-A8C3-43A98356DC2D}"/>
    <cellStyle name="Heading 1" xfId="3" builtinId="16"/>
    <cellStyle name="Heading 2" xfId="4" builtinId="17"/>
    <cellStyle name="Normal" xfId="0" builtinId="0"/>
    <cellStyle name="Normal 2" xfId="5" xr:uid="{F613B8A4-8143-4767-9B13-B9E0F3DBDD64}"/>
    <cellStyle name="Normal 3" xfId="1" xr:uid="{AC52A3AE-CEB8-416B-9571-6A25EF84FB3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0FA2-9587-422A-9675-EA9C545FADFC}">
  <dimension ref="A1:N29"/>
  <sheetViews>
    <sheetView tabSelected="1" workbookViewId="0">
      <selection activeCell="H17" sqref="H17"/>
    </sheetView>
  </sheetViews>
  <sheetFormatPr defaultRowHeight="14.4" x14ac:dyDescent="0.3"/>
  <cols>
    <col min="1" max="1" width="14" customWidth="1"/>
    <col min="2" max="2" width="14" hidden="1" customWidth="1"/>
    <col min="3" max="3" width="18.33203125" customWidth="1"/>
    <col min="4" max="4" width="24.44140625" bestFit="1" customWidth="1"/>
    <col min="5" max="5" width="14" customWidth="1"/>
    <col min="6" max="6" width="12.5546875" style="97" customWidth="1"/>
    <col min="7" max="7" width="12.88671875" style="97" bestFit="1" customWidth="1"/>
    <col min="9" max="9" width="20.33203125" bestFit="1" customWidth="1"/>
    <col min="10" max="10" width="24.44140625" bestFit="1" customWidth="1"/>
    <col min="11" max="11" width="16.88671875" customWidth="1"/>
    <col min="12" max="12" width="12.88671875" customWidth="1"/>
    <col min="13" max="13" width="15.88671875" bestFit="1" customWidth="1"/>
  </cols>
  <sheetData>
    <row r="1" spans="1:13" ht="18" x14ac:dyDescent="0.35">
      <c r="A1" s="125" t="s">
        <v>250</v>
      </c>
      <c r="H1" s="1"/>
      <c r="I1" s="2"/>
      <c r="J1" s="2"/>
      <c r="K1" s="1"/>
    </row>
    <row r="2" spans="1:13" ht="18" x14ac:dyDescent="0.35">
      <c r="A2" s="2"/>
      <c r="B2" s="2"/>
      <c r="C2" s="2"/>
      <c r="D2" s="2"/>
      <c r="E2" s="2"/>
      <c r="F2" s="1"/>
      <c r="G2" s="1"/>
      <c r="H2" s="1"/>
      <c r="K2" s="2"/>
    </row>
    <row r="3" spans="1:13" ht="17.399999999999999" x14ac:dyDescent="0.3">
      <c r="D3" s="107" t="s">
        <v>0</v>
      </c>
      <c r="E3" s="107"/>
      <c r="F3" s="107"/>
      <c r="G3" s="107"/>
      <c r="H3" s="107"/>
      <c r="I3" s="107"/>
    </row>
    <row r="4" spans="1:13" ht="15" thickBot="1" x14ac:dyDescent="0.35"/>
    <row r="5" spans="1:13" ht="18.600000000000001" thickBot="1" x14ac:dyDescent="0.4">
      <c r="A5" s="98" t="s">
        <v>1</v>
      </c>
      <c r="B5" s="98"/>
      <c r="C5" s="98" t="s">
        <v>2</v>
      </c>
      <c r="D5" s="98" t="s">
        <v>3</v>
      </c>
      <c r="E5" s="98" t="s">
        <v>4</v>
      </c>
      <c r="F5" s="98" t="s">
        <v>5</v>
      </c>
      <c r="G5" s="98" t="s">
        <v>6</v>
      </c>
      <c r="H5" s="2"/>
      <c r="I5" s="108" t="s">
        <v>7</v>
      </c>
      <c r="J5" s="109"/>
      <c r="L5" s="108" t="s">
        <v>8</v>
      </c>
      <c r="M5" s="109"/>
    </row>
    <row r="6" spans="1:13" ht="18" x14ac:dyDescent="0.35">
      <c r="A6" s="96" t="s">
        <v>9</v>
      </c>
      <c r="B6" s="96" t="s">
        <v>10</v>
      </c>
      <c r="C6" s="9" t="str">
        <f>PROPER(B6)</f>
        <v>Trần Vinh</v>
      </c>
      <c r="D6" s="96" t="str">
        <f>VLOOKUP(LEFT(A6,2),$I$7:$J$12,2,0)</f>
        <v>Năng Khiếu</v>
      </c>
      <c r="E6" s="96" t="str">
        <f>HLOOKUP(RIGHT(A6,2),$J$15:$L$16,2,0)</f>
        <v>Tin Học</v>
      </c>
      <c r="F6" s="100">
        <v>8.09</v>
      </c>
      <c r="G6" s="99" t="str">
        <f>IF(F6&gt;=9.5,"Xuất sắc",IF(AND(F6&gt;=8,F6&lt;9.5),"Giỏi",IF(AND(F6&gt;=6.5,F6&lt;8),"Khá","Trung Bình")))</f>
        <v>Giỏi</v>
      </c>
      <c r="I6" s="3" t="s">
        <v>11</v>
      </c>
      <c r="J6" s="4" t="s">
        <v>12</v>
      </c>
      <c r="K6" s="5"/>
      <c r="L6" s="6" t="s">
        <v>13</v>
      </c>
      <c r="M6" s="7" t="s">
        <v>14</v>
      </c>
    </row>
    <row r="7" spans="1:13" ht="18" x14ac:dyDescent="0.35">
      <c r="A7" s="96" t="s">
        <v>15</v>
      </c>
      <c r="B7" s="96" t="s">
        <v>16</v>
      </c>
      <c r="C7" s="9" t="str">
        <f t="shared" ref="C7:C20" si="0">PROPER(B7)</f>
        <v>Lê Vinh</v>
      </c>
      <c r="D7" s="96" t="str">
        <f t="shared" ref="D7:D20" si="1">VLOOKUP(LEFT(A7,2),$I$7:$J$12,2,0)</f>
        <v>Năng Khiếu</v>
      </c>
      <c r="E7" s="96" t="str">
        <f t="shared" ref="E7:E20" si="2">HLOOKUP(RIGHT(A7,2),$J$15:$L$16,2,0)</f>
        <v>Toán</v>
      </c>
      <c r="F7" s="101">
        <v>6.1</v>
      </c>
      <c r="G7" s="99" t="str">
        <f t="shared" ref="G7:G20" si="3">IF(F7&gt;=9.5,"Xuất sắc",IF(AND(F7&gt;=8,F7&lt;9.5),"Giỏi",IF(AND(F7&gt;=6.5,F7&lt;8),"Khá","Trung Bình")))</f>
        <v>Trung Bình</v>
      </c>
      <c r="I7" s="8" t="s">
        <v>17</v>
      </c>
      <c r="J7" s="9" t="s">
        <v>18</v>
      </c>
      <c r="K7" s="2"/>
      <c r="L7" s="10">
        <v>5</v>
      </c>
      <c r="M7" s="9" t="s">
        <v>19</v>
      </c>
    </row>
    <row r="8" spans="1:13" ht="18" x14ac:dyDescent="0.35">
      <c r="A8" s="96" t="s">
        <v>20</v>
      </c>
      <c r="B8" s="96" t="s">
        <v>21</v>
      </c>
      <c r="C8" s="9" t="str">
        <f t="shared" si="0"/>
        <v>Phạm Quân</v>
      </c>
      <c r="D8" s="96" t="str">
        <f t="shared" si="1"/>
        <v>Sư Phạm</v>
      </c>
      <c r="E8" s="96" t="str">
        <f t="shared" si="2"/>
        <v>Sinh ngữ</v>
      </c>
      <c r="F8" s="100">
        <v>6.87</v>
      </c>
      <c r="G8" s="99" t="str">
        <f t="shared" si="3"/>
        <v>Khá</v>
      </c>
      <c r="I8" s="11" t="s">
        <v>22</v>
      </c>
      <c r="J8" s="9" t="s">
        <v>23</v>
      </c>
      <c r="K8" s="2"/>
      <c r="L8" s="10">
        <v>6.5</v>
      </c>
      <c r="M8" s="9" t="s">
        <v>24</v>
      </c>
    </row>
    <row r="9" spans="1:13" ht="18" x14ac:dyDescent="0.35">
      <c r="A9" s="96" t="s">
        <v>25</v>
      </c>
      <c r="B9" s="96" t="s">
        <v>26</v>
      </c>
      <c r="C9" s="9" t="str">
        <f t="shared" si="0"/>
        <v>Trần Quân</v>
      </c>
      <c r="D9" s="96" t="str">
        <f t="shared" si="1"/>
        <v>Trần Đại Nghĩa</v>
      </c>
      <c r="E9" s="96" t="str">
        <f t="shared" si="2"/>
        <v>Sinh ngữ</v>
      </c>
      <c r="F9" s="101">
        <v>7.04</v>
      </c>
      <c r="G9" s="99" t="str">
        <f t="shared" si="3"/>
        <v>Khá</v>
      </c>
      <c r="I9" s="11" t="s">
        <v>27</v>
      </c>
      <c r="J9" s="9" t="s">
        <v>28</v>
      </c>
      <c r="K9" s="2"/>
      <c r="L9" s="10">
        <v>8</v>
      </c>
      <c r="M9" s="9" t="s">
        <v>29</v>
      </c>
    </row>
    <row r="10" spans="1:13" ht="18.600000000000001" thickBot="1" x14ac:dyDescent="0.4">
      <c r="A10" s="96" t="s">
        <v>30</v>
      </c>
      <c r="B10" s="96" t="s">
        <v>31</v>
      </c>
      <c r="C10" s="9" t="str">
        <f t="shared" si="0"/>
        <v>Lê Hoàng</v>
      </c>
      <c r="D10" s="96" t="str">
        <f t="shared" si="1"/>
        <v>Gia Định</v>
      </c>
      <c r="E10" s="96" t="str">
        <f t="shared" si="2"/>
        <v>Tin Học</v>
      </c>
      <c r="F10" s="100">
        <v>7.52</v>
      </c>
      <c r="G10" s="99" t="str">
        <f t="shared" si="3"/>
        <v>Khá</v>
      </c>
      <c r="I10" s="11" t="s">
        <v>32</v>
      </c>
      <c r="J10" s="9" t="s">
        <v>33</v>
      </c>
      <c r="K10" s="2"/>
      <c r="L10" s="12">
        <v>9.5</v>
      </c>
      <c r="M10" s="13" t="s">
        <v>34</v>
      </c>
    </row>
    <row r="11" spans="1:13" ht="18" x14ac:dyDescent="0.35">
      <c r="A11" s="96" t="s">
        <v>35</v>
      </c>
      <c r="B11" s="96" t="s">
        <v>26</v>
      </c>
      <c r="C11" s="9" t="str">
        <f t="shared" si="0"/>
        <v>Trần Quân</v>
      </c>
      <c r="D11" s="96" t="str">
        <f t="shared" si="1"/>
        <v>Lê Hồng Phong</v>
      </c>
      <c r="E11" s="96" t="str">
        <f t="shared" si="2"/>
        <v>Sinh ngữ</v>
      </c>
      <c r="F11" s="101">
        <v>7.11</v>
      </c>
      <c r="G11" s="99" t="str">
        <f t="shared" si="3"/>
        <v>Khá</v>
      </c>
      <c r="I11" s="11" t="s">
        <v>36</v>
      </c>
      <c r="J11" s="9" t="s">
        <v>37</v>
      </c>
      <c r="K11" s="2"/>
    </row>
    <row r="12" spans="1:13" ht="18.600000000000001" thickBot="1" x14ac:dyDescent="0.4">
      <c r="A12" s="96" t="s">
        <v>38</v>
      </c>
      <c r="B12" s="96" t="s">
        <v>39</v>
      </c>
      <c r="C12" s="9" t="str">
        <f t="shared" si="0"/>
        <v>Lê Quân</v>
      </c>
      <c r="D12" s="96" t="str">
        <f t="shared" si="1"/>
        <v>Gia Định</v>
      </c>
      <c r="E12" s="96" t="str">
        <f t="shared" si="2"/>
        <v>Tin Học</v>
      </c>
      <c r="F12" s="100">
        <v>7.89</v>
      </c>
      <c r="G12" s="99" t="str">
        <f t="shared" si="3"/>
        <v>Khá</v>
      </c>
      <c r="I12" s="14" t="s">
        <v>40</v>
      </c>
      <c r="J12" s="13" t="s">
        <v>41</v>
      </c>
      <c r="K12" s="2"/>
    </row>
    <row r="13" spans="1:13" ht="18.600000000000001" thickBot="1" x14ac:dyDescent="0.4">
      <c r="A13" s="96" t="s">
        <v>42</v>
      </c>
      <c r="B13" s="96" t="s">
        <v>43</v>
      </c>
      <c r="C13" s="9" t="str">
        <f t="shared" si="0"/>
        <v>Lê Viên</v>
      </c>
      <c r="D13" s="96" t="str">
        <f t="shared" si="1"/>
        <v>Trần Đại Nghĩa</v>
      </c>
      <c r="E13" s="96" t="str">
        <f t="shared" si="2"/>
        <v>Toán</v>
      </c>
      <c r="F13" s="101">
        <v>6.1</v>
      </c>
      <c r="G13" s="99" t="str">
        <f t="shared" si="3"/>
        <v>Trung Bình</v>
      </c>
      <c r="I13" s="2"/>
      <c r="J13" s="2"/>
      <c r="K13" s="2"/>
      <c r="L13" s="2"/>
      <c r="M13" s="2"/>
    </row>
    <row r="14" spans="1:13" ht="18" x14ac:dyDescent="0.35">
      <c r="A14" s="96" t="s">
        <v>44</v>
      </c>
      <c r="B14" s="96" t="s">
        <v>45</v>
      </c>
      <c r="C14" s="9" t="str">
        <f t="shared" si="0"/>
        <v>Lê Văn</v>
      </c>
      <c r="D14" s="96" t="str">
        <f t="shared" si="1"/>
        <v>Lê Hồng Phong</v>
      </c>
      <c r="E14" s="96" t="str">
        <f t="shared" si="2"/>
        <v>Tin Học</v>
      </c>
      <c r="F14" s="100">
        <v>6.87</v>
      </c>
      <c r="G14" s="99" t="str">
        <f t="shared" si="3"/>
        <v>Khá</v>
      </c>
      <c r="I14" s="62" t="s">
        <v>46</v>
      </c>
      <c r="J14" s="63"/>
      <c r="K14" s="63"/>
      <c r="L14" s="64"/>
    </row>
    <row r="15" spans="1:13" ht="18" x14ac:dyDescent="0.35">
      <c r="A15" s="96" t="s">
        <v>47</v>
      </c>
      <c r="B15" s="96" t="s">
        <v>48</v>
      </c>
      <c r="C15" s="9" t="str">
        <f t="shared" si="0"/>
        <v>Lê Thuý</v>
      </c>
      <c r="D15" s="96" t="str">
        <f t="shared" si="1"/>
        <v>Năng Khiếu</v>
      </c>
      <c r="E15" s="96" t="str">
        <f t="shared" si="2"/>
        <v>Toán</v>
      </c>
      <c r="F15" s="101">
        <v>8.1999999999999993</v>
      </c>
      <c r="G15" s="99" t="str">
        <f t="shared" si="3"/>
        <v>Giỏi</v>
      </c>
      <c r="I15" s="15" t="s">
        <v>49</v>
      </c>
      <c r="J15" s="16" t="s">
        <v>50</v>
      </c>
      <c r="K15" s="16" t="s">
        <v>51</v>
      </c>
      <c r="L15" s="17" t="s">
        <v>36</v>
      </c>
    </row>
    <row r="16" spans="1:13" ht="18.600000000000001" thickBot="1" x14ac:dyDescent="0.4">
      <c r="A16" s="96" t="s">
        <v>47</v>
      </c>
      <c r="B16" s="96" t="s">
        <v>21</v>
      </c>
      <c r="C16" s="9" t="str">
        <f t="shared" si="0"/>
        <v>Phạm Quân</v>
      </c>
      <c r="D16" s="96" t="str">
        <f t="shared" si="1"/>
        <v>Năng Khiếu</v>
      </c>
      <c r="E16" s="96" t="str">
        <f t="shared" si="2"/>
        <v>Toán</v>
      </c>
      <c r="F16" s="100">
        <v>9.86</v>
      </c>
      <c r="G16" s="99" t="str">
        <f t="shared" si="3"/>
        <v>Xuất sắc</v>
      </c>
      <c r="I16" s="18" t="s">
        <v>52</v>
      </c>
      <c r="J16" s="19" t="s">
        <v>53</v>
      </c>
      <c r="K16" s="19" t="s">
        <v>54</v>
      </c>
      <c r="L16" s="13" t="s">
        <v>55</v>
      </c>
    </row>
    <row r="17" spans="1:14" ht="18" x14ac:dyDescent="0.35">
      <c r="A17" s="96" t="s">
        <v>56</v>
      </c>
      <c r="B17" s="96" t="s">
        <v>57</v>
      </c>
      <c r="C17" s="9" t="str">
        <f t="shared" si="0"/>
        <v>Phạm Vinh</v>
      </c>
      <c r="D17" s="96" t="str">
        <f t="shared" si="1"/>
        <v>Năng Khiếu</v>
      </c>
      <c r="E17" s="96" t="str">
        <f t="shared" si="2"/>
        <v>Sinh ngữ</v>
      </c>
      <c r="F17" s="101">
        <v>9.66</v>
      </c>
      <c r="G17" s="99" t="str">
        <f t="shared" si="3"/>
        <v>Xuất sắc</v>
      </c>
    </row>
    <row r="18" spans="1:14" ht="18" x14ac:dyDescent="0.35">
      <c r="A18" s="96" t="s">
        <v>58</v>
      </c>
      <c r="B18" s="96" t="s">
        <v>59</v>
      </c>
      <c r="C18" s="9" t="str">
        <f t="shared" si="0"/>
        <v>Trần My</v>
      </c>
      <c r="D18" s="96" t="str">
        <f t="shared" si="1"/>
        <v>Gia Định</v>
      </c>
      <c r="E18" s="96" t="str">
        <f t="shared" si="2"/>
        <v>Sinh ngữ</v>
      </c>
      <c r="F18" s="100">
        <v>9.8699999999999992</v>
      </c>
      <c r="G18" s="99" t="str">
        <f t="shared" si="3"/>
        <v>Xuất sắc</v>
      </c>
    </row>
    <row r="19" spans="1:14" ht="34.799999999999997" x14ac:dyDescent="0.35">
      <c r="A19" s="96" t="s">
        <v>60</v>
      </c>
      <c r="B19" s="96" t="s">
        <v>31</v>
      </c>
      <c r="C19" s="9" t="str">
        <f t="shared" si="0"/>
        <v>Lê Hoàng</v>
      </c>
      <c r="D19" s="96" t="str">
        <f t="shared" si="1"/>
        <v>Trần Đại Nghĩa</v>
      </c>
      <c r="E19" s="96" t="str">
        <f t="shared" si="2"/>
        <v>Toán</v>
      </c>
      <c r="F19" s="101">
        <v>5.68</v>
      </c>
      <c r="G19" s="99" t="str">
        <f t="shared" si="3"/>
        <v>Trung Bình</v>
      </c>
      <c r="I19" s="98" t="s">
        <v>1</v>
      </c>
      <c r="J19" s="98" t="s">
        <v>2</v>
      </c>
      <c r="K19" s="98" t="s">
        <v>3</v>
      </c>
      <c r="L19" s="98" t="s">
        <v>4</v>
      </c>
      <c r="M19" s="98" t="s">
        <v>5</v>
      </c>
      <c r="N19" s="98" t="s">
        <v>6</v>
      </c>
    </row>
    <row r="20" spans="1:14" ht="18" x14ac:dyDescent="0.35">
      <c r="A20" s="95" t="s">
        <v>61</v>
      </c>
      <c r="B20" s="95" t="s">
        <v>62</v>
      </c>
      <c r="C20" s="9" t="str">
        <f t="shared" si="0"/>
        <v>Lê Nguyễn</v>
      </c>
      <c r="D20" s="96" t="str">
        <f t="shared" si="1"/>
        <v>Nguyễn Thượng Hiền</v>
      </c>
      <c r="E20" s="96" t="str">
        <f t="shared" si="2"/>
        <v>Toán</v>
      </c>
      <c r="F20" s="100">
        <v>7.92</v>
      </c>
      <c r="G20" s="99" t="str">
        <f t="shared" si="3"/>
        <v>Khá</v>
      </c>
      <c r="I20" s="96" t="s">
        <v>248</v>
      </c>
      <c r="J20" s="96" t="s">
        <v>246</v>
      </c>
      <c r="K20" s="96" t="s">
        <v>33</v>
      </c>
      <c r="L20" s="96" t="s">
        <v>55</v>
      </c>
      <c r="M20" s="103">
        <v>8.09</v>
      </c>
      <c r="N20" s="96" t="s">
        <v>29</v>
      </c>
    </row>
    <row r="21" spans="1:14" ht="21" x14ac:dyDescent="0.4">
      <c r="C21" s="21"/>
      <c r="D21" s="21"/>
      <c r="E21" s="21"/>
      <c r="F21" s="102"/>
      <c r="G21" s="1"/>
      <c r="H21" s="1"/>
      <c r="I21" s="96" t="s">
        <v>249</v>
      </c>
      <c r="J21" s="96" t="s">
        <v>247</v>
      </c>
      <c r="K21" s="96" t="s">
        <v>33</v>
      </c>
      <c r="L21" s="96" t="s">
        <v>53</v>
      </c>
      <c r="M21" s="103">
        <v>8.1999999999999993</v>
      </c>
      <c r="N21" s="96" t="s">
        <v>29</v>
      </c>
    </row>
    <row r="22" spans="1:14" ht="21" x14ac:dyDescent="0.4">
      <c r="A22" s="20" t="s">
        <v>63</v>
      </c>
      <c r="B22" s="20"/>
      <c r="C22" s="21"/>
      <c r="D22" s="21"/>
      <c r="E22" s="21"/>
      <c r="F22" s="102"/>
      <c r="G22" s="1"/>
      <c r="H22" s="1"/>
    </row>
    <row r="23" spans="1:14" ht="21" x14ac:dyDescent="0.4">
      <c r="A23" s="21" t="s">
        <v>64</v>
      </c>
      <c r="B23" s="21"/>
      <c r="C23" s="21"/>
      <c r="D23" s="21"/>
      <c r="E23" s="21"/>
      <c r="F23" s="102"/>
      <c r="G23" s="1"/>
      <c r="H23" s="1"/>
    </row>
    <row r="24" spans="1:14" ht="21" x14ac:dyDescent="0.4">
      <c r="A24" s="21" t="s">
        <v>65</v>
      </c>
      <c r="B24" s="21"/>
      <c r="C24" s="21"/>
      <c r="D24" s="21"/>
      <c r="E24" s="21"/>
      <c r="F24" s="102"/>
      <c r="G24" s="1"/>
      <c r="H24" s="1"/>
    </row>
    <row r="25" spans="1:14" ht="21" x14ac:dyDescent="0.4">
      <c r="A25" s="21" t="s">
        <v>66</v>
      </c>
      <c r="B25" s="21"/>
      <c r="C25" s="21"/>
      <c r="D25" s="21"/>
      <c r="E25" s="21"/>
      <c r="F25" s="102"/>
      <c r="G25" s="1"/>
      <c r="H25" s="1"/>
    </row>
    <row r="26" spans="1:14" ht="21" x14ac:dyDescent="0.4">
      <c r="A26" s="21" t="s">
        <v>67</v>
      </c>
      <c r="B26" s="21"/>
      <c r="C26" s="21"/>
      <c r="D26" s="21"/>
      <c r="E26" s="21"/>
      <c r="F26" s="102"/>
      <c r="G26" s="1"/>
      <c r="H26" s="1"/>
    </row>
    <row r="27" spans="1:14" ht="21" x14ac:dyDescent="0.4">
      <c r="A27" s="21" t="s">
        <v>68</v>
      </c>
      <c r="B27" s="21"/>
      <c r="C27" s="21"/>
      <c r="D27" s="21"/>
      <c r="E27" s="21"/>
      <c r="F27" s="102"/>
      <c r="G27" s="1"/>
      <c r="H27" s="1"/>
    </row>
    <row r="28" spans="1:14" ht="21" x14ac:dyDescent="0.4">
      <c r="A28" s="21" t="s">
        <v>69</v>
      </c>
      <c r="B28" s="21"/>
      <c r="C28" s="21"/>
      <c r="D28" s="21"/>
      <c r="E28" s="21"/>
      <c r="F28" s="102"/>
      <c r="G28" s="1"/>
      <c r="H28" s="1"/>
    </row>
    <row r="29" spans="1:14" ht="21" x14ac:dyDescent="0.4">
      <c r="A29" s="21" t="s">
        <v>70</v>
      </c>
      <c r="B29" s="21"/>
    </row>
  </sheetData>
  <autoFilter ref="A5:G20" xr:uid="{9FD40FA2-9587-422A-9675-EA9C545FADFC}"/>
  <mergeCells count="3">
    <mergeCell ref="D3:I3"/>
    <mergeCell ref="I5:J5"/>
    <mergeCell ref="L5:M5"/>
  </mergeCells>
  <conditionalFormatting sqref="F6:F20">
    <cfRule type="cellIs" dxfId="1" priority="1" operator="greaterThan">
      <formula>9</formula>
    </cfRule>
  </conditionalFormatting>
  <pageMargins left="0.7" right="0.7" top="0.75" bottom="0.75" header="0.3" footer="0.3"/>
  <pageSetup orientation="portrait" r:id="rId1"/>
  <headerFooter>
    <oddHeader>&amp;LBài tập 1_ Chương 5&amp;RNgày hiện hành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7B95-53B0-46B3-A5E3-D19FF7DCF516}">
  <dimension ref="A1:O43"/>
  <sheetViews>
    <sheetView topLeftCell="A16" workbookViewId="0">
      <selection activeCell="I23" sqref="I23"/>
    </sheetView>
  </sheetViews>
  <sheetFormatPr defaultColWidth="9.109375" defaultRowHeight="13.8" x14ac:dyDescent="0.3"/>
  <cols>
    <col min="1" max="1" width="13" style="60" customWidth="1"/>
    <col min="2" max="3" width="14.5546875" style="60" customWidth="1"/>
    <col min="4" max="4" width="19.44140625" style="60" customWidth="1"/>
    <col min="5" max="5" width="14.5546875" style="60" customWidth="1"/>
    <col min="6" max="6" width="17.88671875" style="60" customWidth="1"/>
    <col min="7" max="7" width="16.109375" style="60" customWidth="1"/>
    <col min="8" max="8" width="11" style="60" customWidth="1"/>
    <col min="9" max="9" width="19.77734375" style="60" bestFit="1" customWidth="1"/>
    <col min="10" max="10" width="16.88671875" style="60" bestFit="1" customWidth="1"/>
    <col min="11" max="11" width="17.44140625" style="60" customWidth="1"/>
    <col min="12" max="12" width="16.109375" style="60" customWidth="1"/>
    <col min="13" max="13" width="13.88671875" style="60" bestFit="1" customWidth="1"/>
    <col min="14" max="14" width="16.88671875" style="60" customWidth="1"/>
    <col min="15" max="15" width="20.5546875" style="60" customWidth="1"/>
    <col min="16" max="16" width="17.44140625" style="60" customWidth="1"/>
    <col min="17" max="17" width="4.109375" style="60" customWidth="1"/>
    <col min="18" max="18" width="20.6640625" style="60" bestFit="1" customWidth="1"/>
    <col min="19" max="19" width="15.88671875" style="60" customWidth="1"/>
    <col min="20" max="20" width="16.109375" style="60" customWidth="1"/>
    <col min="21" max="21" width="13.88671875" style="60" customWidth="1"/>
    <col min="22" max="16384" width="9.109375" style="60"/>
  </cols>
  <sheetData>
    <row r="1" spans="1:15" s="22" customFormat="1" ht="21" thickBot="1" x14ac:dyDescent="0.4">
      <c r="A1" s="110" t="s">
        <v>71</v>
      </c>
      <c r="B1" s="110"/>
      <c r="C1" s="110"/>
      <c r="D1" s="110"/>
      <c r="E1" s="110"/>
      <c r="F1" s="110"/>
      <c r="G1" s="110"/>
      <c r="I1" s="22" t="s">
        <v>72</v>
      </c>
      <c r="K1" s="23" t="s">
        <v>73</v>
      </c>
      <c r="L1" s="24">
        <v>21070</v>
      </c>
    </row>
    <row r="2" spans="1:15" s="29" customFormat="1" ht="33.6" x14ac:dyDescent="0.3">
      <c r="A2" s="25" t="s">
        <v>74</v>
      </c>
      <c r="B2" s="25" t="s">
        <v>75</v>
      </c>
      <c r="C2" s="25" t="s">
        <v>76</v>
      </c>
      <c r="D2" s="25" t="s">
        <v>77</v>
      </c>
      <c r="E2" s="25" t="s">
        <v>78</v>
      </c>
      <c r="F2" s="25" t="s">
        <v>79</v>
      </c>
      <c r="G2" s="25" t="s">
        <v>80</v>
      </c>
      <c r="H2" s="22"/>
      <c r="I2" s="25" t="s">
        <v>81</v>
      </c>
      <c r="J2" s="26" t="s">
        <v>82</v>
      </c>
      <c r="K2" s="26" t="s">
        <v>83</v>
      </c>
      <c r="L2" s="27" t="s">
        <v>84</v>
      </c>
      <c r="M2" s="26" t="s">
        <v>85</v>
      </c>
      <c r="N2" s="28" t="s">
        <v>86</v>
      </c>
    </row>
    <row r="3" spans="1:15" s="22" customFormat="1" ht="18" x14ac:dyDescent="0.35">
      <c r="A3" s="30" t="s">
        <v>87</v>
      </c>
      <c r="B3" s="31" t="str">
        <f>VLOOKUP(LEFT(A3,2),$I$10:$K$14,2,0)</f>
        <v>Laptop</v>
      </c>
      <c r="C3" s="31" t="str">
        <f>HLOOKUP(MID(A3,3,2),$M$9:$O$10,2,0)</f>
        <v>Sony</v>
      </c>
      <c r="D3" s="31" t="str">
        <f>VLOOKUP(RIGHT(A3,2),$I$3:$J$6,2,0)</f>
        <v>Thúy Hằng</v>
      </c>
      <c r="E3" s="31">
        <v>13</v>
      </c>
      <c r="F3" s="32">
        <f>VLOOKUP(LEFT(A3,2),$I$10:$K$14,3,0)*22748</f>
        <v>21951820</v>
      </c>
      <c r="G3" s="106">
        <f>F3*E3</f>
        <v>285373660</v>
      </c>
      <c r="I3" s="128" t="s">
        <v>251</v>
      </c>
      <c r="J3" s="104" t="s">
        <v>88</v>
      </c>
      <c r="K3" s="129">
        <f>SUM(G3:G17)</f>
        <v>4206423672</v>
      </c>
      <c r="L3" s="34">
        <f>600000+K3*3%</f>
        <v>126792710.16</v>
      </c>
      <c r="M3" s="130">
        <f>IF(L3&gt;4000000,(L3-4000000)*10%,"Không nộp thuế")</f>
        <v>12279271.016000001</v>
      </c>
      <c r="N3" s="35">
        <f>L3-M3</f>
        <v>114513439.14399999</v>
      </c>
    </row>
    <row r="4" spans="1:15" s="22" customFormat="1" ht="18" x14ac:dyDescent="0.35">
      <c r="A4" s="30" t="s">
        <v>89</v>
      </c>
      <c r="B4" s="31" t="str">
        <f t="shared" ref="B4:B20" si="0">VLOOKUP(LEFT(A4,2),$I$10:$K$14,2,0)</f>
        <v>Laptop</v>
      </c>
      <c r="C4" s="31" t="str">
        <f t="shared" ref="C4:C20" si="1">HLOOKUP(MID(A4,3,2),$M$9:$O$10,2,0)</f>
        <v>Toshiba</v>
      </c>
      <c r="D4" s="31" t="str">
        <f t="shared" ref="D4:D20" si="2">VLOOKUP(RIGHT(A4,2),$I$3:$J$6,2,0)</f>
        <v>Thanh Long</v>
      </c>
      <c r="E4" s="31">
        <v>25</v>
      </c>
      <c r="F4" s="32">
        <f t="shared" ref="F4:F20" si="3">VLOOKUP(LEFT(A4,2),$I$10:$K$14,3,0)*22748</f>
        <v>21951820</v>
      </c>
      <c r="G4" s="106">
        <f t="shared" ref="G4:G20" si="4">F4*E4</f>
        <v>548795500</v>
      </c>
      <c r="I4" s="128" t="s">
        <v>253</v>
      </c>
      <c r="J4" s="104" t="s">
        <v>90</v>
      </c>
      <c r="K4" s="129">
        <f>SUM(G5:G15)</f>
        <v>3220525352</v>
      </c>
      <c r="L4" s="34">
        <f t="shared" ref="L4:L6" si="5">600000+K4*3%</f>
        <v>97215760.560000002</v>
      </c>
      <c r="M4" s="130">
        <f t="shared" ref="M4:M6" si="6">IF(L4&gt;4000000,(L4-4000000)*10%,"Không nộp thuế")</f>
        <v>9321576.0559999999</v>
      </c>
      <c r="N4" s="35">
        <f t="shared" ref="N4:N6" si="7">L4-M4</f>
        <v>87894184.504000008</v>
      </c>
    </row>
    <row r="5" spans="1:15" s="22" customFormat="1" ht="18" x14ac:dyDescent="0.35">
      <c r="A5" s="30" t="s">
        <v>91</v>
      </c>
      <c r="B5" s="31" t="str">
        <f t="shared" si="0"/>
        <v>Laptop</v>
      </c>
      <c r="C5" s="31" t="str">
        <f t="shared" si="1"/>
        <v>Sony</v>
      </c>
      <c r="D5" s="31" t="str">
        <f t="shared" si="2"/>
        <v>Lan Anh</v>
      </c>
      <c r="E5" s="31">
        <v>31</v>
      </c>
      <c r="F5" s="32">
        <f t="shared" si="3"/>
        <v>21951820</v>
      </c>
      <c r="G5" s="106">
        <f t="shared" si="4"/>
        <v>680506420</v>
      </c>
      <c r="I5" s="126" t="s">
        <v>254</v>
      </c>
      <c r="J5" s="104" t="s">
        <v>92</v>
      </c>
      <c r="K5" s="129">
        <f>SUM(G6:G20)</f>
        <v>2796388892</v>
      </c>
      <c r="L5" s="34">
        <f t="shared" si="5"/>
        <v>84491666.75999999</v>
      </c>
      <c r="M5" s="130">
        <f t="shared" si="6"/>
        <v>8049166.675999999</v>
      </c>
      <c r="N5" s="35">
        <f t="shared" si="7"/>
        <v>76442500.083999991</v>
      </c>
    </row>
    <row r="6" spans="1:15" s="22" customFormat="1" ht="18.600000000000001" thickBot="1" x14ac:dyDescent="0.4">
      <c r="A6" s="30" t="s">
        <v>93</v>
      </c>
      <c r="B6" s="31" t="str">
        <f t="shared" si="0"/>
        <v>Laptop</v>
      </c>
      <c r="C6" s="31" t="str">
        <f t="shared" si="1"/>
        <v>Sony</v>
      </c>
      <c r="D6" s="31" t="str">
        <f t="shared" si="2"/>
        <v>Hải Quân</v>
      </c>
      <c r="E6" s="31">
        <v>33</v>
      </c>
      <c r="F6" s="32">
        <f t="shared" si="3"/>
        <v>21951820</v>
      </c>
      <c r="G6" s="106">
        <f t="shared" si="4"/>
        <v>724410060</v>
      </c>
      <c r="I6" s="127" t="s">
        <v>252</v>
      </c>
      <c r="J6" s="105" t="s">
        <v>94</v>
      </c>
      <c r="K6" s="129">
        <f>SUM(G4:G18)</f>
        <v>3934130112</v>
      </c>
      <c r="L6" s="34">
        <f t="shared" si="5"/>
        <v>118623903.36</v>
      </c>
      <c r="M6" s="130">
        <f t="shared" si="6"/>
        <v>11462390.336000001</v>
      </c>
      <c r="N6" s="35">
        <f t="shared" si="7"/>
        <v>107161513.024</v>
      </c>
    </row>
    <row r="7" spans="1:15" s="22" customFormat="1" ht="17.399999999999999" thickBot="1" x14ac:dyDescent="0.35">
      <c r="A7" s="30" t="s">
        <v>91</v>
      </c>
      <c r="B7" s="31" t="str">
        <f t="shared" si="0"/>
        <v>Laptop</v>
      </c>
      <c r="C7" s="31" t="str">
        <f t="shared" si="1"/>
        <v>Sony</v>
      </c>
      <c r="D7" s="31" t="str">
        <f t="shared" si="2"/>
        <v>Lan Anh</v>
      </c>
      <c r="E7" s="31">
        <v>19</v>
      </c>
      <c r="F7" s="32">
        <f t="shared" si="3"/>
        <v>21951820</v>
      </c>
      <c r="G7" s="106">
        <f t="shared" si="4"/>
        <v>417084580</v>
      </c>
    </row>
    <row r="8" spans="1:15" s="22" customFormat="1" ht="16.8" x14ac:dyDescent="0.3">
      <c r="A8" s="30" t="s">
        <v>95</v>
      </c>
      <c r="B8" s="31" t="str">
        <f t="shared" si="0"/>
        <v>Máy ảnh</v>
      </c>
      <c r="C8" s="31" t="str">
        <f t="shared" si="1"/>
        <v>Toshiba</v>
      </c>
      <c r="D8" s="31" t="str">
        <f t="shared" si="2"/>
        <v>Lan Anh</v>
      </c>
      <c r="E8" s="31">
        <v>14</v>
      </c>
      <c r="F8" s="32">
        <f t="shared" si="3"/>
        <v>7302108</v>
      </c>
      <c r="G8" s="106">
        <f t="shared" si="4"/>
        <v>102229512</v>
      </c>
      <c r="I8" s="111" t="s">
        <v>96</v>
      </c>
      <c r="J8" s="112"/>
      <c r="K8" s="113"/>
      <c r="M8" s="114" t="s">
        <v>97</v>
      </c>
      <c r="N8" s="115"/>
      <c r="O8" s="116"/>
    </row>
    <row r="9" spans="1:15" s="22" customFormat="1" ht="16.8" x14ac:dyDescent="0.3">
      <c r="A9" s="30" t="s">
        <v>98</v>
      </c>
      <c r="B9" s="31" t="str">
        <f t="shared" si="0"/>
        <v>Máy ảnh</v>
      </c>
      <c r="C9" s="31" t="str">
        <f t="shared" si="1"/>
        <v>Panasonic</v>
      </c>
      <c r="D9" s="31" t="str">
        <f t="shared" si="2"/>
        <v>Thanh Long</v>
      </c>
      <c r="E9" s="31">
        <v>31</v>
      </c>
      <c r="F9" s="32">
        <f t="shared" si="3"/>
        <v>7302108</v>
      </c>
      <c r="G9" s="106">
        <f t="shared" si="4"/>
        <v>226365348</v>
      </c>
      <c r="I9" s="37" t="s">
        <v>99</v>
      </c>
      <c r="J9" s="38" t="s">
        <v>100</v>
      </c>
      <c r="K9" s="39" t="s">
        <v>101</v>
      </c>
      <c r="M9" s="37" t="s">
        <v>102</v>
      </c>
      <c r="N9" s="38" t="s">
        <v>103</v>
      </c>
      <c r="O9" s="39" t="s">
        <v>104</v>
      </c>
    </row>
    <row r="10" spans="1:15" s="22" customFormat="1" ht="17.399999999999999" thickBot="1" x14ac:dyDescent="0.35">
      <c r="A10" s="30" t="s">
        <v>105</v>
      </c>
      <c r="B10" s="31" t="str">
        <f t="shared" si="0"/>
        <v>Máy ảnh</v>
      </c>
      <c r="C10" s="31" t="str">
        <f t="shared" si="1"/>
        <v>Sony</v>
      </c>
      <c r="D10" s="31" t="str">
        <f t="shared" si="2"/>
        <v>Hải Quân</v>
      </c>
      <c r="E10" s="31">
        <v>24</v>
      </c>
      <c r="F10" s="32">
        <f t="shared" si="3"/>
        <v>7302108</v>
      </c>
      <c r="G10" s="106">
        <f t="shared" si="4"/>
        <v>175250592</v>
      </c>
      <c r="I10" s="33" t="s">
        <v>106</v>
      </c>
      <c r="J10" s="31" t="s">
        <v>107</v>
      </c>
      <c r="K10" s="40">
        <v>115</v>
      </c>
      <c r="M10" s="41" t="s">
        <v>108</v>
      </c>
      <c r="N10" s="42" t="s">
        <v>109</v>
      </c>
      <c r="O10" s="43" t="s">
        <v>110</v>
      </c>
    </row>
    <row r="11" spans="1:15" s="22" customFormat="1" ht="16.8" x14ac:dyDescent="0.3">
      <c r="A11" s="30" t="s">
        <v>111</v>
      </c>
      <c r="B11" s="31" t="str">
        <f t="shared" si="0"/>
        <v>Máy giặt</v>
      </c>
      <c r="C11" s="31" t="str">
        <f t="shared" si="1"/>
        <v>Toshiba</v>
      </c>
      <c r="D11" s="31" t="str">
        <f t="shared" si="2"/>
        <v>Thúy Hằng</v>
      </c>
      <c r="E11" s="31">
        <v>11</v>
      </c>
      <c r="F11" s="32">
        <f t="shared" si="3"/>
        <v>11601480</v>
      </c>
      <c r="G11" s="106">
        <f t="shared" si="4"/>
        <v>127616280</v>
      </c>
      <c r="I11" s="33" t="s">
        <v>112</v>
      </c>
      <c r="J11" s="31" t="s">
        <v>113</v>
      </c>
      <c r="K11" s="40">
        <v>321</v>
      </c>
      <c r="M11" s="44"/>
    </row>
    <row r="12" spans="1:15" s="22" customFormat="1" ht="16.8" x14ac:dyDescent="0.3">
      <c r="A12" s="30" t="s">
        <v>114</v>
      </c>
      <c r="B12" s="31" t="str">
        <f t="shared" si="0"/>
        <v>Máy giặt</v>
      </c>
      <c r="C12" s="31" t="str">
        <f t="shared" si="1"/>
        <v>Panasonic</v>
      </c>
      <c r="D12" s="31" t="str">
        <f t="shared" si="2"/>
        <v>Lan Anh</v>
      </c>
      <c r="E12" s="31">
        <v>21</v>
      </c>
      <c r="F12" s="32">
        <f t="shared" si="3"/>
        <v>11601480</v>
      </c>
      <c r="G12" s="106">
        <f t="shared" si="4"/>
        <v>243631080</v>
      </c>
      <c r="I12" s="33" t="s">
        <v>115</v>
      </c>
      <c r="J12" s="31" t="s">
        <v>116</v>
      </c>
      <c r="K12" s="40">
        <v>185</v>
      </c>
      <c r="M12" s="44"/>
    </row>
    <row r="13" spans="1:15" s="22" customFormat="1" ht="16.8" x14ac:dyDescent="0.3">
      <c r="A13" s="30" t="s">
        <v>111</v>
      </c>
      <c r="B13" s="31" t="str">
        <f t="shared" si="0"/>
        <v>Máy giặt</v>
      </c>
      <c r="C13" s="31" t="str">
        <f t="shared" si="1"/>
        <v>Toshiba</v>
      </c>
      <c r="D13" s="31" t="str">
        <f t="shared" si="2"/>
        <v>Thúy Hằng</v>
      </c>
      <c r="E13" s="31">
        <v>19</v>
      </c>
      <c r="F13" s="32">
        <f t="shared" si="3"/>
        <v>11601480</v>
      </c>
      <c r="G13" s="106">
        <f t="shared" si="4"/>
        <v>220428120</v>
      </c>
      <c r="I13" s="33" t="s">
        <v>117</v>
      </c>
      <c r="J13" s="31" t="s">
        <v>118</v>
      </c>
      <c r="K13" s="40">
        <v>965</v>
      </c>
    </row>
    <row r="14" spans="1:15" s="22" customFormat="1" ht="17.399999999999999" thickBot="1" x14ac:dyDescent="0.35">
      <c r="A14" s="30" t="s">
        <v>119</v>
      </c>
      <c r="B14" s="31" t="str">
        <f t="shared" si="0"/>
        <v>Máy lạnh</v>
      </c>
      <c r="C14" s="31" t="str">
        <f t="shared" si="1"/>
        <v>Toshiba</v>
      </c>
      <c r="D14" s="31" t="str">
        <f t="shared" si="2"/>
        <v>Hải Quân</v>
      </c>
      <c r="E14" s="31">
        <v>39</v>
      </c>
      <c r="F14" s="32">
        <f t="shared" si="3"/>
        <v>4208380</v>
      </c>
      <c r="G14" s="106">
        <f t="shared" si="4"/>
        <v>164126820</v>
      </c>
      <c r="I14" s="36" t="s">
        <v>120</v>
      </c>
      <c r="J14" s="45" t="s">
        <v>121</v>
      </c>
      <c r="K14" s="46">
        <v>510</v>
      </c>
    </row>
    <row r="15" spans="1:15" s="22" customFormat="1" ht="17.399999999999999" thickBot="1" x14ac:dyDescent="0.35">
      <c r="A15" s="30" t="s">
        <v>122</v>
      </c>
      <c r="B15" s="31" t="str">
        <f t="shared" si="0"/>
        <v>Máy lạnh</v>
      </c>
      <c r="C15" s="31" t="str">
        <f t="shared" si="1"/>
        <v>Panasonic</v>
      </c>
      <c r="D15" s="31" t="str">
        <f t="shared" si="2"/>
        <v>Lan Anh</v>
      </c>
      <c r="E15" s="31">
        <v>33</v>
      </c>
      <c r="F15" s="32">
        <f t="shared" si="3"/>
        <v>4208380</v>
      </c>
      <c r="G15" s="106">
        <f t="shared" si="4"/>
        <v>138876540</v>
      </c>
    </row>
    <row r="16" spans="1:15" s="22" customFormat="1" ht="17.399999999999999" thickBot="1" x14ac:dyDescent="0.35">
      <c r="A16" s="30" t="s">
        <v>123</v>
      </c>
      <c r="B16" s="31" t="str">
        <f t="shared" si="0"/>
        <v>Tivi</v>
      </c>
      <c r="C16" s="31" t="str">
        <f t="shared" si="1"/>
        <v>Sony</v>
      </c>
      <c r="D16" s="31" t="str">
        <f t="shared" si="2"/>
        <v>Thúy Hằng</v>
      </c>
      <c r="E16" s="31">
        <v>37</v>
      </c>
      <c r="F16" s="32">
        <f t="shared" si="3"/>
        <v>2616020</v>
      </c>
      <c r="G16" s="106">
        <f t="shared" si="4"/>
        <v>96792740</v>
      </c>
      <c r="I16" s="47" t="s">
        <v>124</v>
      </c>
      <c r="J16" s="48" t="s">
        <v>125</v>
      </c>
      <c r="L16" s="47" t="s">
        <v>126</v>
      </c>
      <c r="M16" s="49"/>
      <c r="N16" s="50" t="s">
        <v>127</v>
      </c>
      <c r="O16" s="51"/>
    </row>
    <row r="17" spans="1:15" s="22" customFormat="1" ht="16.8" x14ac:dyDescent="0.3">
      <c r="A17" s="30" t="s">
        <v>123</v>
      </c>
      <c r="B17" s="31" t="str">
        <f t="shared" si="0"/>
        <v>Tivi</v>
      </c>
      <c r="C17" s="31" t="str">
        <f t="shared" si="1"/>
        <v>Sony</v>
      </c>
      <c r="D17" s="31" t="str">
        <f t="shared" si="2"/>
        <v>Thúy Hằng</v>
      </c>
      <c r="E17" s="31">
        <v>21</v>
      </c>
      <c r="F17" s="32">
        <f t="shared" si="3"/>
        <v>2616020</v>
      </c>
      <c r="G17" s="106">
        <f t="shared" si="4"/>
        <v>54936420</v>
      </c>
      <c r="I17" s="37" t="s">
        <v>100</v>
      </c>
      <c r="J17" s="39" t="s">
        <v>128</v>
      </c>
      <c r="L17" s="52"/>
      <c r="M17" s="53" t="s">
        <v>108</v>
      </c>
      <c r="N17" s="53" t="s">
        <v>109</v>
      </c>
      <c r="O17" s="54" t="s">
        <v>110</v>
      </c>
    </row>
    <row r="18" spans="1:15" s="22" customFormat="1" ht="16.8" x14ac:dyDescent="0.3">
      <c r="A18" s="30" t="s">
        <v>129</v>
      </c>
      <c r="B18" s="31" t="str">
        <f t="shared" si="0"/>
        <v>Tivi</v>
      </c>
      <c r="C18" s="31" t="str">
        <f t="shared" si="1"/>
        <v>Panasonic</v>
      </c>
      <c r="D18" s="31" t="str">
        <f t="shared" si="2"/>
        <v>Thanh Long</v>
      </c>
      <c r="E18" s="31">
        <v>5</v>
      </c>
      <c r="F18" s="32">
        <f t="shared" si="3"/>
        <v>2616020</v>
      </c>
      <c r="G18" s="106">
        <f t="shared" si="4"/>
        <v>13080100</v>
      </c>
      <c r="I18" s="33" t="s">
        <v>107</v>
      </c>
      <c r="J18" s="131">
        <f>SUMIF($B$3:$B$20,"*"&amp;"Tivi"&amp;"*",$G$3:$G$20)</f>
        <v>256369960</v>
      </c>
      <c r="L18" s="55" t="s">
        <v>107</v>
      </c>
      <c r="M18" s="31">
        <f>SUMIFS($E$3:$E$20,$B$3:$B$20,"Tivi",$C$3:$C$20,"Sony")</f>
        <v>79</v>
      </c>
      <c r="N18" s="31">
        <f>SUMIFS($E$3:$E$20,$B$3:$B$20,"Tivi",$C$3:$C$20,"Toshiba")</f>
        <v>14</v>
      </c>
      <c r="O18" s="31">
        <f>SUMIFS($E$3:$E$20,$B$3:$B$20,"Tivi",$C$3:$C$20,"Panasonic")</f>
        <v>5</v>
      </c>
    </row>
    <row r="19" spans="1:15" s="22" customFormat="1" ht="16.8" x14ac:dyDescent="0.3">
      <c r="A19" s="30" t="s">
        <v>130</v>
      </c>
      <c r="B19" s="31" t="str">
        <f t="shared" si="0"/>
        <v>Tivi</v>
      </c>
      <c r="C19" s="31" t="str">
        <f t="shared" si="1"/>
        <v>Toshiba</v>
      </c>
      <c r="D19" s="31" t="str">
        <f t="shared" si="2"/>
        <v>Hải Quân</v>
      </c>
      <c r="E19" s="31">
        <v>14</v>
      </c>
      <c r="F19" s="32">
        <f t="shared" si="3"/>
        <v>2616020</v>
      </c>
      <c r="G19" s="106">
        <f t="shared" si="4"/>
        <v>36624280</v>
      </c>
      <c r="I19" s="33" t="s">
        <v>113</v>
      </c>
      <c r="J19" s="131">
        <f>SUMIF($B$3:$B$20,"*"&amp;"Máy ảnh"&amp;"*",$G$3:$G$20)</f>
        <v>503845452</v>
      </c>
      <c r="L19" s="55" t="s">
        <v>113</v>
      </c>
      <c r="M19" s="31">
        <f>SUMIFS($E$3:$E$20,$B$3:$B$20,"Máy ảnh",$C$3:$C$20,"Sony")</f>
        <v>24</v>
      </c>
      <c r="N19" s="31">
        <f>SUMIFS($E$3:$E$20,$B$3:$B$20,"Máy ảnh",$C$3:$C$20,"Toshiba")</f>
        <v>14</v>
      </c>
      <c r="O19" s="31">
        <f>SUMIFS($E$3:$E$20,$B$3:$B$20,"Máy ảnh",$C$3:$C$20,"Panasonic")</f>
        <v>31</v>
      </c>
    </row>
    <row r="20" spans="1:15" s="22" customFormat="1" ht="16.8" x14ac:dyDescent="0.3">
      <c r="A20" s="30" t="s">
        <v>131</v>
      </c>
      <c r="B20" s="31" t="str">
        <f t="shared" si="0"/>
        <v>Tivi</v>
      </c>
      <c r="C20" s="31" t="str">
        <f t="shared" si="1"/>
        <v>Sony</v>
      </c>
      <c r="D20" s="31" t="str">
        <f t="shared" si="2"/>
        <v>Hải Quân</v>
      </c>
      <c r="E20" s="31">
        <v>21</v>
      </c>
      <c r="F20" s="32">
        <f t="shared" si="3"/>
        <v>2616020</v>
      </c>
      <c r="G20" s="106">
        <f t="shared" si="4"/>
        <v>54936420</v>
      </c>
      <c r="I20" s="33" t="s">
        <v>116</v>
      </c>
      <c r="J20" s="131">
        <f>SUMIF($B$3:$B$20,"*"&amp;"Máy lạnh"&amp;"*",$G$3:$G$20)</f>
        <v>303003360</v>
      </c>
      <c r="L20" s="55" t="s">
        <v>116</v>
      </c>
      <c r="M20" s="31">
        <f>SUMIFS($E$3:$E$20,$B$3:$B$20,"Máy lạnh",$C$3:$C$20,"Sony")</f>
        <v>0</v>
      </c>
      <c r="N20" s="31">
        <f>SUMIFS($E$3:$E$20,$B$3:$B$20,"Máy lạnh",$C$3:$C$20,"Toshiba")</f>
        <v>39</v>
      </c>
      <c r="O20" s="31">
        <f>SUMIFS($E$3:$E$20,$B$3:$B$20,"Máy lạnh",$C$3:$C$20,"Panasonic")</f>
        <v>33</v>
      </c>
    </row>
    <row r="21" spans="1:15" s="22" customFormat="1" ht="16.8" x14ac:dyDescent="0.3">
      <c r="I21" s="33" t="s">
        <v>118</v>
      </c>
      <c r="J21" s="131">
        <f>SUMIF($B$3:$B$20,"*"&amp;"Laptop"&amp;"*",$G$3:$G$20)</f>
        <v>2656170220</v>
      </c>
      <c r="L21" s="55" t="s">
        <v>118</v>
      </c>
      <c r="M21" s="31">
        <f>SUMIFS($E$3:$E$20,$B$3:$B$20,"Laptop",$C$3:$C$20,"Sony")</f>
        <v>96</v>
      </c>
      <c r="N21" s="31">
        <f>SUMIFS($E$3:$E$20,$B$3:$B$20,"Laptop",$C$3:$C$20,"Toshiba")</f>
        <v>25</v>
      </c>
      <c r="O21" s="31">
        <f>SUMIFS($E$3:$E$20,$B$3:$B$20,"Laptop",$C$3:$C$20,"Panasonic")</f>
        <v>0</v>
      </c>
    </row>
    <row r="22" spans="1:15" s="22" customFormat="1" ht="17.399999999999999" thickBot="1" x14ac:dyDescent="0.35">
      <c r="A22" s="56" t="s">
        <v>132</v>
      </c>
      <c r="I22" s="36" t="s">
        <v>121</v>
      </c>
      <c r="J22" s="131">
        <f>SUMIF($B$3:$B$20,"*"&amp;"Máy giặt"&amp;"*",$G$3:$G$20)</f>
        <v>591675480</v>
      </c>
      <c r="L22" s="57" t="s">
        <v>121</v>
      </c>
      <c r="M22" s="31">
        <f>SUMIFS($E$3:$E$20,$B$3:$B$20,"Máy giặt",$C$3:$C$20,"Sony")</f>
        <v>0</v>
      </c>
      <c r="N22" s="31">
        <f>SUMIFS($E$3:$E$20,$B$3:$B$20,"Máy giặt",$C$3:$C$20,"Toshiba")</f>
        <v>30</v>
      </c>
      <c r="O22" s="31">
        <f>SUMIFS($E$3:$E$20,$B$3:$B$20,"Máy giặt",$C$3:$C$20,"Panasonic")</f>
        <v>21</v>
      </c>
    </row>
    <row r="23" spans="1:15" s="58" customFormat="1" ht="18" x14ac:dyDescent="0.35">
      <c r="A23" s="58" t="s">
        <v>133</v>
      </c>
    </row>
    <row r="24" spans="1:15" s="58" customFormat="1" ht="18" x14ac:dyDescent="0.35">
      <c r="A24" s="58" t="s">
        <v>134</v>
      </c>
    </row>
    <row r="25" spans="1:15" s="58" customFormat="1" ht="18" x14ac:dyDescent="0.35">
      <c r="A25" s="58" t="s">
        <v>135</v>
      </c>
    </row>
    <row r="26" spans="1:15" s="58" customFormat="1" ht="18" x14ac:dyDescent="0.35">
      <c r="A26" s="58" t="s">
        <v>136</v>
      </c>
      <c r="K26" s="22"/>
    </row>
    <row r="27" spans="1:15" s="58" customFormat="1" ht="18" x14ac:dyDescent="0.35">
      <c r="A27" s="58" t="s">
        <v>137</v>
      </c>
      <c r="K27" s="22"/>
    </row>
    <row r="28" spans="1:15" s="58" customFormat="1" ht="18" x14ac:dyDescent="0.35">
      <c r="A28" s="58" t="s">
        <v>138</v>
      </c>
      <c r="F28" s="59"/>
      <c r="K28" s="22"/>
    </row>
    <row r="29" spans="1:15" s="58" customFormat="1" ht="18" x14ac:dyDescent="0.35">
      <c r="A29" s="58" t="s">
        <v>139</v>
      </c>
      <c r="K29" s="22"/>
    </row>
    <row r="30" spans="1:15" s="58" customFormat="1" ht="18" x14ac:dyDescent="0.35">
      <c r="A30" s="58" t="s">
        <v>140</v>
      </c>
      <c r="I30" s="60"/>
      <c r="J30" s="60"/>
      <c r="K30" s="22"/>
    </row>
    <row r="31" spans="1:15" s="58" customFormat="1" ht="18" x14ac:dyDescent="0.35">
      <c r="A31" s="58" t="s">
        <v>141</v>
      </c>
      <c r="I31" s="60"/>
      <c r="J31" s="60"/>
    </row>
    <row r="32" spans="1:15" s="58" customFormat="1" ht="18" x14ac:dyDescent="0.35">
      <c r="A32" s="58" t="s">
        <v>142</v>
      </c>
      <c r="I32" s="60"/>
      <c r="J32" s="60"/>
    </row>
    <row r="33" spans="1:10" s="58" customFormat="1" ht="18" x14ac:dyDescent="0.35">
      <c r="A33" s="58" t="s">
        <v>143</v>
      </c>
      <c r="I33" s="60"/>
      <c r="J33" s="60"/>
    </row>
    <row r="40" spans="1:10" x14ac:dyDescent="0.3">
      <c r="D40" s="61"/>
    </row>
    <row r="41" spans="1:10" x14ac:dyDescent="0.3">
      <c r="D41" s="61"/>
    </row>
    <row r="42" spans="1:10" x14ac:dyDescent="0.3">
      <c r="D42" s="61"/>
    </row>
    <row r="43" spans="1:10" x14ac:dyDescent="0.3">
      <c r="D43" s="61"/>
    </row>
  </sheetData>
  <autoFilter ref="A2:G20" xr:uid="{3F287B95-53B0-46B3-A5E3-D19FF7DCF516}"/>
  <mergeCells count="3">
    <mergeCell ref="A1:G1"/>
    <mergeCell ref="I8:K8"/>
    <mergeCell ref="M8:O8"/>
  </mergeCells>
  <phoneticPr fontId="3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749-30DC-4B74-A3BD-279043A5950D}">
  <dimension ref="A1:L32"/>
  <sheetViews>
    <sheetView workbookViewId="0">
      <pane ySplit="1" topLeftCell="A17" activePane="bottomLeft" state="frozen"/>
      <selection pane="bottomLeft" activeCell="H35" sqref="H35"/>
    </sheetView>
  </sheetViews>
  <sheetFormatPr defaultRowHeight="14.4" x14ac:dyDescent="0.3"/>
  <cols>
    <col min="2" max="2" width="0" hidden="1" customWidth="1"/>
    <col min="3" max="3" width="30.44140625" bestFit="1" customWidth="1"/>
    <col min="4" max="4" width="18.44140625" customWidth="1"/>
    <col min="5" max="5" width="13.33203125" bestFit="1" customWidth="1"/>
    <col min="6" max="6" width="14" customWidth="1"/>
    <col min="7" max="7" width="11.109375" customWidth="1"/>
    <col min="8" max="8" width="17" customWidth="1"/>
    <col min="9" max="9" width="11.6640625" customWidth="1"/>
    <col min="10" max="10" width="12.109375" customWidth="1"/>
    <col min="11" max="11" width="12.88671875" customWidth="1"/>
    <col min="12" max="12" width="9.5546875" hidden="1" customWidth="1"/>
  </cols>
  <sheetData>
    <row r="1" spans="1:12" ht="24.6" x14ac:dyDescent="0.4">
      <c r="A1" s="117" t="s">
        <v>144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2" ht="37.200000000000003" x14ac:dyDescent="0.3">
      <c r="A2" s="65" t="s">
        <v>145</v>
      </c>
      <c r="B2" s="65"/>
      <c r="C2" s="65" t="s">
        <v>146</v>
      </c>
      <c r="D2" s="65" t="s">
        <v>147</v>
      </c>
      <c r="E2" s="65" t="s">
        <v>148</v>
      </c>
      <c r="F2" s="65" t="s">
        <v>149</v>
      </c>
      <c r="G2" s="65" t="s">
        <v>150</v>
      </c>
      <c r="H2" s="65" t="s">
        <v>151</v>
      </c>
      <c r="I2" s="65" t="s">
        <v>152</v>
      </c>
      <c r="J2" s="65" t="s">
        <v>19</v>
      </c>
      <c r="K2" s="65" t="s">
        <v>153</v>
      </c>
    </row>
    <row r="3" spans="1:12" ht="19.2" x14ac:dyDescent="0.35">
      <c r="A3" s="66">
        <v>1</v>
      </c>
      <c r="B3" s="66" t="s">
        <v>154</v>
      </c>
      <c r="C3" s="66" t="str">
        <f>PROPER(B3)</f>
        <v>Nguyễn Văn Tâm</v>
      </c>
      <c r="D3" s="132">
        <v>32781</v>
      </c>
      <c r="E3" s="134">
        <f ca="1">INT(L3-D3)/365</f>
        <v>32.11780821917808</v>
      </c>
      <c r="F3" s="66">
        <v>4</v>
      </c>
      <c r="G3" s="66">
        <v>5</v>
      </c>
      <c r="H3" s="66">
        <v>3</v>
      </c>
      <c r="I3" s="66">
        <f>SUM(F3:H3)</f>
        <v>12</v>
      </c>
      <c r="J3" s="66">
        <f>(F3*2+G3*2+H3)/5</f>
        <v>4.2</v>
      </c>
      <c r="K3" s="135" t="str">
        <f>IF(J3&gt;=5,"Đậu","Rớt")</f>
        <v>Rớt</v>
      </c>
      <c r="L3" s="133">
        <f ca="1">TODAY()</f>
        <v>44504</v>
      </c>
    </row>
    <row r="4" spans="1:12" ht="19.2" x14ac:dyDescent="0.35">
      <c r="A4" s="66">
        <v>2</v>
      </c>
      <c r="B4" s="66" t="s">
        <v>155</v>
      </c>
      <c r="C4" s="66" t="str">
        <f t="shared" ref="C4:C17" si="0">PROPER(B4)</f>
        <v>Nguyễn Thị Hằng</v>
      </c>
      <c r="D4" s="132">
        <v>32803</v>
      </c>
      <c r="E4" s="134">
        <f t="shared" ref="E4:E17" ca="1" si="1">INT(L4-D4)/365</f>
        <v>32.057534246575344</v>
      </c>
      <c r="F4" s="66">
        <v>5</v>
      </c>
      <c r="G4" s="66">
        <v>2</v>
      </c>
      <c r="H4" s="66">
        <v>8</v>
      </c>
      <c r="I4" s="66">
        <f t="shared" ref="I4:I17" si="2">SUM(F4:H4)</f>
        <v>15</v>
      </c>
      <c r="J4" s="66">
        <f t="shared" ref="J4:J17" si="3">(F4*2+G4*2+H4)/5</f>
        <v>4.4000000000000004</v>
      </c>
      <c r="K4" s="135" t="str">
        <f t="shared" ref="K4:K17" si="4">IF(J4&gt;=5,"Đậu","Rớt")</f>
        <v>Rớt</v>
      </c>
      <c r="L4" s="133">
        <f t="shared" ref="L4:L17" ca="1" si="5">TODAY()</f>
        <v>44504</v>
      </c>
    </row>
    <row r="5" spans="1:12" ht="19.2" x14ac:dyDescent="0.35">
      <c r="A5" s="66">
        <v>3</v>
      </c>
      <c r="B5" s="66" t="s">
        <v>156</v>
      </c>
      <c r="C5" s="66" t="str">
        <f t="shared" si="0"/>
        <v>Ngô Thị Nga</v>
      </c>
      <c r="D5" s="132">
        <v>33856</v>
      </c>
      <c r="E5" s="134">
        <f t="shared" ca="1" si="1"/>
        <v>29.172602739726027</v>
      </c>
      <c r="F5" s="66">
        <v>6</v>
      </c>
      <c r="G5" s="66">
        <v>6</v>
      </c>
      <c r="H5" s="66">
        <v>6</v>
      </c>
      <c r="I5" s="66">
        <f t="shared" si="2"/>
        <v>18</v>
      </c>
      <c r="J5" s="66">
        <f t="shared" si="3"/>
        <v>6</v>
      </c>
      <c r="K5" s="135" t="str">
        <f t="shared" si="4"/>
        <v>Đậu</v>
      </c>
      <c r="L5" s="133">
        <f t="shared" ca="1" si="5"/>
        <v>44504</v>
      </c>
    </row>
    <row r="6" spans="1:12" ht="19.2" x14ac:dyDescent="0.35">
      <c r="A6" s="66">
        <v>4</v>
      </c>
      <c r="B6" s="66" t="s">
        <v>157</v>
      </c>
      <c r="C6" s="66" t="str">
        <f t="shared" si="0"/>
        <v>Trần Thiên Thu</v>
      </c>
      <c r="D6" s="132">
        <v>35061</v>
      </c>
      <c r="E6" s="134">
        <f t="shared" ca="1" si="1"/>
        <v>25.87123287671233</v>
      </c>
      <c r="F6" s="66">
        <v>2</v>
      </c>
      <c r="G6" s="66">
        <v>5</v>
      </c>
      <c r="H6" s="66">
        <v>5</v>
      </c>
      <c r="I6" s="66">
        <f t="shared" si="2"/>
        <v>12</v>
      </c>
      <c r="J6" s="66">
        <f t="shared" si="3"/>
        <v>3.8</v>
      </c>
      <c r="K6" s="135" t="str">
        <f t="shared" si="4"/>
        <v>Rớt</v>
      </c>
      <c r="L6" s="133">
        <f t="shared" ca="1" si="5"/>
        <v>44504</v>
      </c>
    </row>
    <row r="7" spans="1:12" ht="19.2" x14ac:dyDescent="0.35">
      <c r="A7" s="66">
        <v>5</v>
      </c>
      <c r="B7" s="66" t="s">
        <v>158</v>
      </c>
      <c r="C7" s="66" t="str">
        <f t="shared" si="0"/>
        <v>Lâm Hoàng Cát</v>
      </c>
      <c r="D7" s="132">
        <v>32383</v>
      </c>
      <c r="E7" s="134">
        <f t="shared" ca="1" si="1"/>
        <v>33.208219178082189</v>
      </c>
      <c r="F7" s="66">
        <v>7</v>
      </c>
      <c r="G7" s="66">
        <v>5</v>
      </c>
      <c r="H7" s="66">
        <v>7</v>
      </c>
      <c r="I7" s="66">
        <f t="shared" si="2"/>
        <v>19</v>
      </c>
      <c r="J7" s="66">
        <f t="shared" si="3"/>
        <v>6.2</v>
      </c>
      <c r="K7" s="135" t="str">
        <f t="shared" si="4"/>
        <v>Đậu</v>
      </c>
      <c r="L7" s="133">
        <f t="shared" ca="1" si="5"/>
        <v>44504</v>
      </c>
    </row>
    <row r="8" spans="1:12" ht="19.2" x14ac:dyDescent="0.35">
      <c r="A8" s="66">
        <v>6</v>
      </c>
      <c r="B8" s="66" t="s">
        <v>159</v>
      </c>
      <c r="C8" s="66" t="str">
        <f t="shared" si="0"/>
        <v>Lê Hoài Sơn</v>
      </c>
      <c r="D8" s="132">
        <v>33176</v>
      </c>
      <c r="E8" s="134">
        <f t="shared" ca="1" si="1"/>
        <v>31.035616438356165</v>
      </c>
      <c r="F8" s="66">
        <v>8</v>
      </c>
      <c r="G8" s="66">
        <v>5</v>
      </c>
      <c r="H8" s="66">
        <v>7</v>
      </c>
      <c r="I8" s="66">
        <f t="shared" si="2"/>
        <v>20</v>
      </c>
      <c r="J8" s="66">
        <f t="shared" si="3"/>
        <v>6.6</v>
      </c>
      <c r="K8" s="135" t="str">
        <f t="shared" si="4"/>
        <v>Đậu</v>
      </c>
      <c r="L8" s="133">
        <f t="shared" ca="1" si="5"/>
        <v>44504</v>
      </c>
    </row>
    <row r="9" spans="1:12" ht="19.2" x14ac:dyDescent="0.35">
      <c r="A9" s="66">
        <v>7</v>
      </c>
      <c r="B9" s="66" t="s">
        <v>160</v>
      </c>
      <c r="C9" s="66" t="str">
        <f t="shared" si="0"/>
        <v>Lý Lâm</v>
      </c>
      <c r="D9" s="132">
        <v>36102</v>
      </c>
      <c r="E9" s="134">
        <f t="shared" ca="1" si="1"/>
        <v>23.019178082191782</v>
      </c>
      <c r="F9" s="66">
        <v>9</v>
      </c>
      <c r="G9" s="66">
        <v>5</v>
      </c>
      <c r="H9" s="66">
        <v>8</v>
      </c>
      <c r="I9" s="66">
        <f t="shared" si="2"/>
        <v>22</v>
      </c>
      <c r="J9" s="66">
        <f t="shared" si="3"/>
        <v>7.2</v>
      </c>
      <c r="K9" s="135" t="str">
        <f t="shared" si="4"/>
        <v>Đậu</v>
      </c>
      <c r="L9" s="133">
        <f t="shared" ca="1" si="5"/>
        <v>44504</v>
      </c>
    </row>
    <row r="10" spans="1:12" ht="19.2" x14ac:dyDescent="0.35">
      <c r="A10" s="66">
        <v>8</v>
      </c>
      <c r="B10" s="66" t="s">
        <v>161</v>
      </c>
      <c r="C10" s="66" t="str">
        <f t="shared" si="0"/>
        <v>Trần Văn Trung</v>
      </c>
      <c r="D10" s="132">
        <v>33140</v>
      </c>
      <c r="E10" s="134">
        <f t="shared" ca="1" si="1"/>
        <v>31.134246575342466</v>
      </c>
      <c r="F10" s="66">
        <v>4</v>
      </c>
      <c r="G10" s="66">
        <v>5</v>
      </c>
      <c r="H10" s="66">
        <v>6</v>
      </c>
      <c r="I10" s="66">
        <f t="shared" si="2"/>
        <v>15</v>
      </c>
      <c r="J10" s="66">
        <f t="shared" si="3"/>
        <v>4.8</v>
      </c>
      <c r="K10" s="135" t="str">
        <f t="shared" si="4"/>
        <v>Rớt</v>
      </c>
      <c r="L10" s="133">
        <f t="shared" ca="1" si="5"/>
        <v>44504</v>
      </c>
    </row>
    <row r="11" spans="1:12" ht="19.2" x14ac:dyDescent="0.35">
      <c r="A11" s="66">
        <v>9</v>
      </c>
      <c r="B11" s="66" t="s">
        <v>162</v>
      </c>
      <c r="C11" s="66" t="str">
        <f t="shared" si="0"/>
        <v>Nguyễn Văn Tráng</v>
      </c>
      <c r="D11" s="132">
        <v>35045</v>
      </c>
      <c r="E11" s="134">
        <f t="shared" ca="1" si="1"/>
        <v>25.915068493150685</v>
      </c>
      <c r="F11" s="66">
        <v>6</v>
      </c>
      <c r="G11" s="66">
        <v>5</v>
      </c>
      <c r="H11" s="66">
        <v>5</v>
      </c>
      <c r="I11" s="66">
        <f t="shared" si="2"/>
        <v>16</v>
      </c>
      <c r="J11" s="66">
        <f t="shared" si="3"/>
        <v>5.4</v>
      </c>
      <c r="K11" s="135" t="str">
        <f t="shared" si="4"/>
        <v>Đậu</v>
      </c>
      <c r="L11" s="133">
        <f t="shared" ca="1" si="5"/>
        <v>44504</v>
      </c>
    </row>
    <row r="12" spans="1:12" ht="19.2" x14ac:dyDescent="0.35">
      <c r="A12" s="66">
        <v>10</v>
      </c>
      <c r="B12" s="66" t="s">
        <v>163</v>
      </c>
      <c r="C12" s="66" t="str">
        <f t="shared" si="0"/>
        <v>Lý Thu Nga</v>
      </c>
      <c r="D12" s="132">
        <v>32446</v>
      </c>
      <c r="E12" s="134">
        <f t="shared" ca="1" si="1"/>
        <v>33.035616438356165</v>
      </c>
      <c r="F12" s="66">
        <v>8</v>
      </c>
      <c r="G12" s="66">
        <v>4</v>
      </c>
      <c r="H12" s="66">
        <v>6</v>
      </c>
      <c r="I12" s="66">
        <f t="shared" si="2"/>
        <v>18</v>
      </c>
      <c r="J12" s="66">
        <f t="shared" si="3"/>
        <v>6</v>
      </c>
      <c r="K12" s="135" t="str">
        <f t="shared" si="4"/>
        <v>Đậu</v>
      </c>
      <c r="L12" s="133">
        <f t="shared" ca="1" si="5"/>
        <v>44504</v>
      </c>
    </row>
    <row r="13" spans="1:12" ht="19.2" x14ac:dyDescent="0.35">
      <c r="A13" s="66">
        <v>11</v>
      </c>
      <c r="B13" s="66" t="s">
        <v>164</v>
      </c>
      <c r="C13" s="66" t="str">
        <f t="shared" si="0"/>
        <v>Nguyễn Văn Hùng</v>
      </c>
      <c r="D13" s="132">
        <v>33137</v>
      </c>
      <c r="E13" s="134">
        <f t="shared" ca="1" si="1"/>
        <v>31.142465753424659</v>
      </c>
      <c r="F13" s="66">
        <v>4</v>
      </c>
      <c r="G13" s="66">
        <v>4</v>
      </c>
      <c r="H13" s="66">
        <v>6</v>
      </c>
      <c r="I13" s="66">
        <f t="shared" si="2"/>
        <v>14</v>
      </c>
      <c r="J13" s="66">
        <f t="shared" si="3"/>
        <v>4.4000000000000004</v>
      </c>
      <c r="K13" s="135" t="str">
        <f t="shared" si="4"/>
        <v>Rớt</v>
      </c>
      <c r="L13" s="133">
        <f t="shared" ca="1" si="5"/>
        <v>44504</v>
      </c>
    </row>
    <row r="14" spans="1:12" ht="19.2" x14ac:dyDescent="0.35">
      <c r="A14" s="66">
        <v>12</v>
      </c>
      <c r="B14" s="66" t="s">
        <v>165</v>
      </c>
      <c r="C14" s="66" t="str">
        <f t="shared" si="0"/>
        <v>Trần Thi Phượng</v>
      </c>
      <c r="D14" s="132">
        <v>33480</v>
      </c>
      <c r="E14" s="134">
        <f t="shared" ca="1" si="1"/>
        <v>30.202739726027396</v>
      </c>
      <c r="F14" s="66">
        <v>7</v>
      </c>
      <c r="G14" s="66">
        <v>7</v>
      </c>
      <c r="H14" s="66">
        <v>6</v>
      </c>
      <c r="I14" s="66">
        <f t="shared" si="2"/>
        <v>20</v>
      </c>
      <c r="J14" s="66">
        <f t="shared" si="3"/>
        <v>6.8</v>
      </c>
      <c r="K14" s="135" t="str">
        <f t="shared" si="4"/>
        <v>Đậu</v>
      </c>
      <c r="L14" s="133">
        <f t="shared" ca="1" si="5"/>
        <v>44504</v>
      </c>
    </row>
    <row r="15" spans="1:12" ht="19.2" x14ac:dyDescent="0.35">
      <c r="A15" s="66">
        <v>13</v>
      </c>
      <c r="B15" s="66" t="s">
        <v>166</v>
      </c>
      <c r="C15" s="66" t="str">
        <f t="shared" si="0"/>
        <v>Võ Công Thành</v>
      </c>
      <c r="D15" s="132">
        <v>34974</v>
      </c>
      <c r="E15" s="134">
        <f t="shared" ca="1" si="1"/>
        <v>26.109589041095891</v>
      </c>
      <c r="F15" s="66">
        <v>8</v>
      </c>
      <c r="G15" s="66">
        <v>8</v>
      </c>
      <c r="H15" s="66">
        <v>5</v>
      </c>
      <c r="I15" s="66">
        <f t="shared" si="2"/>
        <v>21</v>
      </c>
      <c r="J15" s="66">
        <f t="shared" si="3"/>
        <v>7.4</v>
      </c>
      <c r="K15" s="135" t="str">
        <f t="shared" si="4"/>
        <v>Đậu</v>
      </c>
      <c r="L15" s="133">
        <f t="shared" ca="1" si="5"/>
        <v>44504</v>
      </c>
    </row>
    <row r="16" spans="1:12" ht="19.2" x14ac:dyDescent="0.35">
      <c r="A16" s="66">
        <v>14</v>
      </c>
      <c r="B16" s="66" t="s">
        <v>167</v>
      </c>
      <c r="C16" s="66" t="str">
        <f t="shared" si="0"/>
        <v>Lê Văn Minh</v>
      </c>
      <c r="D16" s="132">
        <v>33126</v>
      </c>
      <c r="E16" s="134">
        <f t="shared" ca="1" si="1"/>
        <v>31.172602739726027</v>
      </c>
      <c r="F16" s="66">
        <v>3</v>
      </c>
      <c r="G16" s="66">
        <v>9</v>
      </c>
      <c r="H16" s="66">
        <v>8</v>
      </c>
      <c r="I16" s="66">
        <f t="shared" si="2"/>
        <v>20</v>
      </c>
      <c r="J16" s="66">
        <f t="shared" si="3"/>
        <v>6.4</v>
      </c>
      <c r="K16" s="135" t="str">
        <f t="shared" si="4"/>
        <v>Đậu</v>
      </c>
      <c r="L16" s="133">
        <f t="shared" ca="1" si="5"/>
        <v>44504</v>
      </c>
    </row>
    <row r="17" spans="1:12" ht="19.2" x14ac:dyDescent="0.35">
      <c r="A17" s="66">
        <v>15</v>
      </c>
      <c r="B17" s="66" t="s">
        <v>168</v>
      </c>
      <c r="C17" s="66" t="str">
        <f t="shared" si="0"/>
        <v>Doãn Hòa</v>
      </c>
      <c r="D17" s="132">
        <v>32983</v>
      </c>
      <c r="E17" s="134">
        <f t="shared" ca="1" si="1"/>
        <v>31.564383561643837</v>
      </c>
      <c r="F17" s="66">
        <v>5</v>
      </c>
      <c r="G17" s="66">
        <v>8</v>
      </c>
      <c r="H17" s="66">
        <v>9</v>
      </c>
      <c r="I17" s="66">
        <f t="shared" si="2"/>
        <v>22</v>
      </c>
      <c r="J17" s="66">
        <f t="shared" si="3"/>
        <v>7</v>
      </c>
      <c r="K17" s="135" t="str">
        <f t="shared" si="4"/>
        <v>Đậu</v>
      </c>
      <c r="L17" s="133">
        <f t="shared" ca="1" si="5"/>
        <v>44504</v>
      </c>
    </row>
    <row r="18" spans="1:12" ht="19.2" x14ac:dyDescent="0.35">
      <c r="A18" s="118" t="s">
        <v>169</v>
      </c>
      <c r="B18" s="118"/>
      <c r="C18" s="118"/>
      <c r="D18" s="67"/>
      <c r="E18" s="67"/>
      <c r="F18" s="66"/>
      <c r="G18" s="66"/>
      <c r="H18" s="66"/>
      <c r="I18" s="66"/>
      <c r="J18" s="66"/>
      <c r="K18" s="66"/>
    </row>
    <row r="19" spans="1:12" ht="19.2" x14ac:dyDescent="0.35">
      <c r="A19" s="118" t="s">
        <v>170</v>
      </c>
      <c r="B19" s="118"/>
      <c r="C19" s="118"/>
      <c r="D19" s="67"/>
      <c r="E19" s="136">
        <f ca="1">AVERAGE(E$3:E$17)</f>
        <v>29.783926940639269</v>
      </c>
      <c r="F19" s="136">
        <f>AVERAGE(F$3:F$17)</f>
        <v>5.7333333333333334</v>
      </c>
      <c r="G19" s="136">
        <f>AVERAGE(G$3:G$17)</f>
        <v>5.5333333333333332</v>
      </c>
      <c r="H19" s="136">
        <f>AVERAGE(H$3:H$17)</f>
        <v>6.333333333333333</v>
      </c>
      <c r="I19" s="136">
        <f>AVERAGE(I$3:I$17)</f>
        <v>17.600000000000001</v>
      </c>
      <c r="J19" s="136">
        <f t="shared" ref="F19:J19" si="6">AVERAGE(J$3:J$17)</f>
        <v>5.7733333333333343</v>
      </c>
      <c r="K19" s="66"/>
    </row>
    <row r="20" spans="1:12" ht="19.2" x14ac:dyDescent="0.35">
      <c r="A20" s="118" t="s">
        <v>171</v>
      </c>
      <c r="B20" s="118"/>
      <c r="C20" s="118"/>
      <c r="D20" s="67"/>
      <c r="E20" s="136">
        <f ca="1">MAX(E3:E17)</f>
        <v>33.208219178082189</v>
      </c>
      <c r="F20" s="136">
        <f t="shared" ref="F20:J20" si="7">MAX(F3:F17)</f>
        <v>9</v>
      </c>
      <c r="G20" s="136">
        <f t="shared" si="7"/>
        <v>9</v>
      </c>
      <c r="H20" s="136">
        <f t="shared" si="7"/>
        <v>9</v>
      </c>
      <c r="I20" s="136">
        <f t="shared" si="7"/>
        <v>22</v>
      </c>
      <c r="J20" s="136">
        <f t="shared" si="7"/>
        <v>7.4</v>
      </c>
      <c r="K20" s="66"/>
    </row>
    <row r="21" spans="1:12" ht="19.2" x14ac:dyDescent="0.35">
      <c r="A21" s="118" t="s">
        <v>172</v>
      </c>
      <c r="B21" s="118"/>
      <c r="C21" s="118"/>
      <c r="D21" s="67"/>
      <c r="E21" s="136">
        <f ca="1">MIN(E3:E17)</f>
        <v>23.019178082191782</v>
      </c>
      <c r="F21" s="136">
        <f t="shared" ref="F21:J21" si="8">MIN(F3:F17)</f>
        <v>2</v>
      </c>
      <c r="G21" s="136">
        <f t="shared" si="8"/>
        <v>2</v>
      </c>
      <c r="H21" s="136">
        <f t="shared" si="8"/>
        <v>3</v>
      </c>
      <c r="I21" s="136">
        <f t="shared" si="8"/>
        <v>12</v>
      </c>
      <c r="J21" s="136">
        <f t="shared" si="8"/>
        <v>3.8</v>
      </c>
      <c r="K21" s="66"/>
    </row>
    <row r="23" spans="1:12" ht="21" x14ac:dyDescent="0.4">
      <c r="A23" s="68" t="s">
        <v>63</v>
      </c>
      <c r="B23" s="68"/>
    </row>
    <row r="24" spans="1:12" s="69" customFormat="1" ht="20.399999999999999" x14ac:dyDescent="0.35">
      <c r="A24" s="69" t="s">
        <v>173</v>
      </c>
    </row>
    <row r="25" spans="1:12" s="69" customFormat="1" ht="20.399999999999999" x14ac:dyDescent="0.35">
      <c r="A25" s="69" t="s">
        <v>174</v>
      </c>
      <c r="D25" s="70"/>
    </row>
    <row r="26" spans="1:12" s="69" customFormat="1" ht="20.399999999999999" x14ac:dyDescent="0.35">
      <c r="A26" s="69" t="s">
        <v>175</v>
      </c>
    </row>
    <row r="27" spans="1:12" s="69" customFormat="1" ht="20.399999999999999" x14ac:dyDescent="0.35">
      <c r="A27" s="69" t="s">
        <v>176</v>
      </c>
    </row>
    <row r="28" spans="1:12" s="69" customFormat="1" ht="20.399999999999999" x14ac:dyDescent="0.35">
      <c r="A28" s="69" t="s">
        <v>177</v>
      </c>
    </row>
    <row r="29" spans="1:12" s="69" customFormat="1" ht="20.399999999999999" x14ac:dyDescent="0.35">
      <c r="A29" s="69" t="s">
        <v>178</v>
      </c>
    </row>
    <row r="30" spans="1:12" s="69" customFormat="1" ht="20.399999999999999" x14ac:dyDescent="0.35">
      <c r="A30" s="69" t="s">
        <v>179</v>
      </c>
    </row>
    <row r="31" spans="1:12" s="69" customFormat="1" ht="20.399999999999999" x14ac:dyDescent="0.35">
      <c r="A31" s="69" t="s">
        <v>180</v>
      </c>
    </row>
    <row r="32" spans="1:12" ht="20.399999999999999" x14ac:dyDescent="0.35">
      <c r="A32" s="69" t="s">
        <v>181</v>
      </c>
      <c r="B32" s="69"/>
    </row>
  </sheetData>
  <mergeCells count="5">
    <mergeCell ref="A1:K1"/>
    <mergeCell ref="A18:C18"/>
    <mergeCell ref="A19:C19"/>
    <mergeCell ref="A20:C20"/>
    <mergeCell ref="A21:C21"/>
  </mergeCells>
  <conditionalFormatting sqref="F3:H17">
    <cfRule type="cellIs" dxfId="0" priority="1" operator="lessThan"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409C-CC6B-4C19-8A34-0E7ABF3F7A58}">
  <dimension ref="A1:I25"/>
  <sheetViews>
    <sheetView workbookViewId="0">
      <selection activeCell="I16" sqref="I16"/>
    </sheetView>
  </sheetViews>
  <sheetFormatPr defaultRowHeight="14.4" x14ac:dyDescent="0.3"/>
  <cols>
    <col min="1" max="1" width="9.88671875" customWidth="1"/>
    <col min="2" max="2" width="11.88671875" customWidth="1"/>
    <col min="3" max="3" width="13.109375" customWidth="1"/>
    <col min="4" max="4" width="14.5546875" customWidth="1"/>
    <col min="5" max="5" width="16.33203125" customWidth="1"/>
    <col min="6" max="6" width="19.109375" customWidth="1"/>
    <col min="7" max="7" width="20.44140625" bestFit="1" customWidth="1"/>
    <col min="8" max="8" width="13.88671875" customWidth="1"/>
    <col min="9" max="9" width="28.88671875" style="141" bestFit="1" customWidth="1"/>
  </cols>
  <sheetData>
    <row r="1" spans="1:9" ht="24" thickBot="1" x14ac:dyDescent="0.5">
      <c r="A1" s="119" t="s">
        <v>182</v>
      </c>
      <c r="B1" s="119"/>
      <c r="C1" s="119"/>
      <c r="D1" s="119"/>
      <c r="E1" s="119"/>
      <c r="F1" s="119"/>
      <c r="G1" s="119"/>
      <c r="H1" s="119"/>
      <c r="I1" s="119"/>
    </row>
    <row r="2" spans="1:9" ht="18.600000000000001" thickTop="1" thickBot="1" x14ac:dyDescent="0.4">
      <c r="A2" s="71" t="s">
        <v>183</v>
      </c>
      <c r="B2" s="71" t="s">
        <v>184</v>
      </c>
      <c r="C2" s="71" t="s">
        <v>185</v>
      </c>
      <c r="D2" s="71" t="s">
        <v>186</v>
      </c>
      <c r="E2" s="71" t="s">
        <v>187</v>
      </c>
      <c r="F2" s="71" t="s">
        <v>188</v>
      </c>
      <c r="G2" s="71" t="s">
        <v>189</v>
      </c>
      <c r="H2" s="71" t="s">
        <v>190</v>
      </c>
      <c r="I2" s="139" t="s">
        <v>191</v>
      </c>
    </row>
    <row r="3" spans="1:9" ht="18.600000000000001" thickTop="1" x14ac:dyDescent="0.35">
      <c r="A3" s="72"/>
      <c r="B3" s="72" t="s">
        <v>192</v>
      </c>
      <c r="C3" s="72">
        <v>8</v>
      </c>
      <c r="D3" s="72">
        <v>15</v>
      </c>
      <c r="E3" s="72">
        <v>9</v>
      </c>
      <c r="F3" s="137">
        <f>AVERAGE(C3:E3)</f>
        <v>10.666666666666666</v>
      </c>
      <c r="G3" s="138" t="str">
        <f>IF(F3&lt;10,"Fail",IF(AND(F3&gt;=10,F3&lt;12),"Pass",IF(AND(F3&gt;=12,F3&lt;14),"Good",IF(AND(F3&gt;=14,F3&lt;16),"Very Good","Excellent"))))</f>
        <v>Pass</v>
      </c>
      <c r="H3" s="144">
        <f>RANK(F3,$F$3:$F$13,0)</f>
        <v>8</v>
      </c>
      <c r="I3" s="140" t="str">
        <f>IF(AND(F3&gt;12,AND(E3&gt;=10,AND(D3&gt;=10,C3&gt;=10))),"Khóa học miễn phí 1 tháng","Không")</f>
        <v>Không</v>
      </c>
    </row>
    <row r="4" spans="1:9" ht="18" x14ac:dyDescent="0.35">
      <c r="A4" s="72"/>
      <c r="B4" s="72" t="s">
        <v>193</v>
      </c>
      <c r="C4" s="72">
        <v>4</v>
      </c>
      <c r="D4" s="72">
        <v>15</v>
      </c>
      <c r="E4" s="72">
        <v>16</v>
      </c>
      <c r="F4" s="137">
        <f t="shared" ref="F4:F13" si="0">AVERAGE(C4:E4)</f>
        <v>11.666666666666666</v>
      </c>
      <c r="G4" s="138" t="str">
        <f t="shared" ref="G4:G13" si="1">IF(F4&lt;10,"Fail",IF(AND(F4&gt;=10,F4&lt;12),"Pass",IF(AND(F4&gt;=12,F4&lt;14),"Good",IF(AND(F4&gt;=14,F4&lt;16),"Very Good","Excellent"))))</f>
        <v>Pass</v>
      </c>
      <c r="H4" s="144">
        <f t="shared" ref="H4:H13" si="2">RANK(F4,$F$3:$F$13,0)</f>
        <v>5</v>
      </c>
      <c r="I4" s="140" t="str">
        <f t="shared" ref="I4:I13" si="3">IF(AND(F4&gt;12,AND(E4&gt;=10,AND(D4&gt;=10,C4&gt;=10))),"Khóa học miễn phí 1 tháng","Không")</f>
        <v>Không</v>
      </c>
    </row>
    <row r="5" spans="1:9" ht="18" x14ac:dyDescent="0.35">
      <c r="A5" s="72"/>
      <c r="B5" s="72" t="s">
        <v>194</v>
      </c>
      <c r="C5" s="72">
        <v>11</v>
      </c>
      <c r="D5" s="72">
        <v>6</v>
      </c>
      <c r="E5" s="72">
        <v>8</v>
      </c>
      <c r="F5" s="137">
        <f t="shared" si="0"/>
        <v>8.3333333333333339</v>
      </c>
      <c r="G5" s="138" t="str">
        <f t="shared" si="1"/>
        <v>Fail</v>
      </c>
      <c r="H5" s="144">
        <f t="shared" si="2"/>
        <v>10</v>
      </c>
      <c r="I5" s="140" t="str">
        <f t="shared" si="3"/>
        <v>Không</v>
      </c>
    </row>
    <row r="6" spans="1:9" ht="18" x14ac:dyDescent="0.35">
      <c r="A6" s="72"/>
      <c r="B6" s="72" t="s">
        <v>195</v>
      </c>
      <c r="C6" s="72">
        <v>17</v>
      </c>
      <c r="D6" s="72">
        <v>16</v>
      </c>
      <c r="E6" s="72">
        <v>3</v>
      </c>
      <c r="F6" s="137">
        <f t="shared" si="0"/>
        <v>12</v>
      </c>
      <c r="G6" s="138" t="str">
        <f t="shared" si="1"/>
        <v>Good</v>
      </c>
      <c r="H6" s="144">
        <f t="shared" si="2"/>
        <v>4</v>
      </c>
      <c r="I6" s="140" t="str">
        <f t="shared" si="3"/>
        <v>Không</v>
      </c>
    </row>
    <row r="7" spans="1:9" ht="18" x14ac:dyDescent="0.35">
      <c r="A7" s="72"/>
      <c r="B7" s="72" t="s">
        <v>196</v>
      </c>
      <c r="C7" s="72">
        <v>17</v>
      </c>
      <c r="D7" s="72">
        <v>18</v>
      </c>
      <c r="E7" s="72">
        <v>10</v>
      </c>
      <c r="F7" s="137">
        <f t="shared" si="0"/>
        <v>15</v>
      </c>
      <c r="G7" s="138" t="str">
        <f t="shared" si="1"/>
        <v>Very Good</v>
      </c>
      <c r="H7" s="144">
        <f t="shared" si="2"/>
        <v>2</v>
      </c>
      <c r="I7" s="140" t="str">
        <f t="shared" si="3"/>
        <v>Khóa học miễn phí 1 tháng</v>
      </c>
    </row>
    <row r="8" spans="1:9" ht="18" x14ac:dyDescent="0.35">
      <c r="A8" s="72"/>
      <c r="B8" s="72" t="s">
        <v>197</v>
      </c>
      <c r="C8" s="72">
        <v>6</v>
      </c>
      <c r="D8" s="72">
        <v>5</v>
      </c>
      <c r="E8" s="72">
        <v>13</v>
      </c>
      <c r="F8" s="137">
        <f t="shared" si="0"/>
        <v>8</v>
      </c>
      <c r="G8" s="138" t="str">
        <f t="shared" si="1"/>
        <v>Fail</v>
      </c>
      <c r="H8" s="144">
        <f t="shared" si="2"/>
        <v>11</v>
      </c>
      <c r="I8" s="140" t="str">
        <f t="shared" si="3"/>
        <v>Không</v>
      </c>
    </row>
    <row r="9" spans="1:9" ht="18" x14ac:dyDescent="0.35">
      <c r="A9" s="72"/>
      <c r="B9" s="72" t="s">
        <v>198</v>
      </c>
      <c r="C9" s="72">
        <v>18</v>
      </c>
      <c r="D9" s="72">
        <v>19</v>
      </c>
      <c r="E9" s="72">
        <v>15</v>
      </c>
      <c r="F9" s="137">
        <f t="shared" si="0"/>
        <v>17.333333333333332</v>
      </c>
      <c r="G9" s="138" t="str">
        <f t="shared" si="1"/>
        <v>Excellent</v>
      </c>
      <c r="H9" s="144">
        <f t="shared" si="2"/>
        <v>1</v>
      </c>
      <c r="I9" s="140" t="str">
        <f t="shared" si="3"/>
        <v>Khóa học miễn phí 1 tháng</v>
      </c>
    </row>
    <row r="10" spans="1:9" ht="18" x14ac:dyDescent="0.35">
      <c r="A10" s="72"/>
      <c r="B10" s="72" t="s">
        <v>199</v>
      </c>
      <c r="C10" s="72">
        <v>15</v>
      </c>
      <c r="D10" s="72">
        <v>8</v>
      </c>
      <c r="E10" s="72">
        <v>6</v>
      </c>
      <c r="F10" s="137">
        <f t="shared" si="0"/>
        <v>9.6666666666666661</v>
      </c>
      <c r="G10" s="138" t="str">
        <f t="shared" si="1"/>
        <v>Fail</v>
      </c>
      <c r="H10" s="144">
        <f t="shared" si="2"/>
        <v>9</v>
      </c>
      <c r="I10" s="140" t="str">
        <f t="shared" si="3"/>
        <v>Không</v>
      </c>
    </row>
    <row r="11" spans="1:9" ht="18" x14ac:dyDescent="0.35">
      <c r="A11" s="72"/>
      <c r="B11" s="72" t="s">
        <v>200</v>
      </c>
      <c r="C11" s="72">
        <v>15</v>
      </c>
      <c r="D11" s="72">
        <v>4</v>
      </c>
      <c r="E11" s="72">
        <v>16</v>
      </c>
      <c r="F11" s="137">
        <f t="shared" si="0"/>
        <v>11.666666666666666</v>
      </c>
      <c r="G11" s="138" t="str">
        <f t="shared" si="1"/>
        <v>Pass</v>
      </c>
      <c r="H11" s="144">
        <f t="shared" si="2"/>
        <v>5</v>
      </c>
      <c r="I11" s="140" t="str">
        <f t="shared" si="3"/>
        <v>Không</v>
      </c>
    </row>
    <row r="12" spans="1:9" ht="18" x14ac:dyDescent="0.35">
      <c r="A12" s="72"/>
      <c r="B12" s="72" t="s">
        <v>195</v>
      </c>
      <c r="C12" s="72">
        <v>6</v>
      </c>
      <c r="D12" s="72">
        <v>11</v>
      </c>
      <c r="E12" s="72">
        <v>18</v>
      </c>
      <c r="F12" s="137">
        <f t="shared" si="0"/>
        <v>11.666666666666666</v>
      </c>
      <c r="G12" s="138" t="str">
        <f t="shared" si="1"/>
        <v>Pass</v>
      </c>
      <c r="H12" s="144">
        <f t="shared" si="2"/>
        <v>5</v>
      </c>
      <c r="I12" s="140" t="str">
        <f t="shared" si="3"/>
        <v>Không</v>
      </c>
    </row>
    <row r="13" spans="1:9" ht="18" x14ac:dyDescent="0.35">
      <c r="A13" s="72"/>
      <c r="B13" s="72" t="s">
        <v>201</v>
      </c>
      <c r="C13" s="72">
        <v>16</v>
      </c>
      <c r="D13" s="72">
        <v>17</v>
      </c>
      <c r="E13" s="72">
        <v>5</v>
      </c>
      <c r="F13" s="137">
        <f t="shared" si="0"/>
        <v>12.666666666666666</v>
      </c>
      <c r="G13" s="138" t="str">
        <f t="shared" si="1"/>
        <v>Good</v>
      </c>
      <c r="H13" s="144">
        <f t="shared" si="2"/>
        <v>3</v>
      </c>
      <c r="I13" s="140" t="str">
        <f t="shared" si="3"/>
        <v>Không</v>
      </c>
    </row>
    <row r="14" spans="1:9" ht="18" x14ac:dyDescent="0.35">
      <c r="B14" s="73"/>
      <c r="C14" s="73"/>
      <c r="D14" s="73"/>
      <c r="E14" s="73"/>
    </row>
    <row r="15" spans="1:9" ht="18" x14ac:dyDescent="0.35">
      <c r="A15" s="74" t="s">
        <v>132</v>
      </c>
      <c r="C15" s="73"/>
    </row>
    <row r="16" spans="1:9" s="75" customFormat="1" ht="21" x14ac:dyDescent="0.4">
      <c r="A16" s="75" t="s">
        <v>202</v>
      </c>
      <c r="B16" s="76"/>
      <c r="I16" s="142"/>
    </row>
    <row r="17" spans="1:9" s="75" customFormat="1" ht="21" x14ac:dyDescent="0.4">
      <c r="A17" s="75" t="s">
        <v>203</v>
      </c>
      <c r="I17" s="142"/>
    </row>
    <row r="18" spans="1:9" s="75" customFormat="1" ht="21" x14ac:dyDescent="0.4">
      <c r="B18" s="75" t="s">
        <v>204</v>
      </c>
      <c r="I18" s="142"/>
    </row>
    <row r="19" spans="1:9" s="75" customFormat="1" ht="21" x14ac:dyDescent="0.4">
      <c r="B19" s="75" t="s">
        <v>205</v>
      </c>
      <c r="C19" s="77"/>
      <c r="I19" s="142"/>
    </row>
    <row r="20" spans="1:9" s="75" customFormat="1" ht="21" x14ac:dyDescent="0.4">
      <c r="B20" s="75" t="s">
        <v>206</v>
      </c>
      <c r="C20" s="77"/>
      <c r="I20" s="142"/>
    </row>
    <row r="21" spans="1:9" s="75" customFormat="1" ht="21" x14ac:dyDescent="0.4">
      <c r="B21" s="75" t="s">
        <v>207</v>
      </c>
      <c r="C21" s="77"/>
      <c r="I21" s="142"/>
    </row>
    <row r="22" spans="1:9" s="78" customFormat="1" ht="21" x14ac:dyDescent="0.4">
      <c r="B22" s="75" t="s">
        <v>208</v>
      </c>
      <c r="C22" s="77"/>
      <c r="I22" s="143"/>
    </row>
    <row r="23" spans="1:9" s="78" customFormat="1" ht="21" x14ac:dyDescent="0.4">
      <c r="A23" s="75" t="s">
        <v>209</v>
      </c>
      <c r="C23" s="77"/>
      <c r="I23" s="143"/>
    </row>
    <row r="24" spans="1:9" s="78" customFormat="1" ht="21" x14ac:dyDescent="0.4">
      <c r="A24" s="75" t="s">
        <v>210</v>
      </c>
      <c r="I24" s="143"/>
    </row>
    <row r="25" spans="1:9" s="78" customFormat="1" ht="21" x14ac:dyDescent="0.4">
      <c r="A25" s="75" t="s">
        <v>211</v>
      </c>
      <c r="I25" s="143"/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BF6B-DE56-440F-B431-8F49170CB919}">
  <dimension ref="A1:K29"/>
  <sheetViews>
    <sheetView workbookViewId="0">
      <selection activeCell="L11" sqref="L11"/>
    </sheetView>
  </sheetViews>
  <sheetFormatPr defaultColWidth="9.109375" defaultRowHeight="15" x14ac:dyDescent="0.25"/>
  <cols>
    <col min="1" max="1" width="20" style="79" bestFit="1" customWidth="1"/>
    <col min="2" max="2" width="18" style="79" customWidth="1"/>
    <col min="3" max="4" width="9.109375" style="79"/>
    <col min="5" max="5" width="17.5546875" style="79" customWidth="1"/>
    <col min="6" max="6" width="13.5546875" style="79" customWidth="1"/>
    <col min="7" max="7" width="14.5546875" style="79" customWidth="1"/>
    <col min="8" max="8" width="15.44140625" style="79" customWidth="1"/>
    <col min="9" max="9" width="9.109375" style="79"/>
    <col min="10" max="10" width="14.33203125" style="79" bestFit="1" customWidth="1"/>
    <col min="11" max="16384" width="9.109375" style="79"/>
  </cols>
  <sheetData>
    <row r="1" spans="1:11" ht="21.6" thickBot="1" x14ac:dyDescent="0.45">
      <c r="A1" s="120" t="s">
        <v>212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1" ht="31.2" x14ac:dyDescent="0.25">
      <c r="A2" s="80" t="s">
        <v>213</v>
      </c>
      <c r="B2" s="81" t="s">
        <v>214</v>
      </c>
      <c r="C2" s="81" t="s">
        <v>215</v>
      </c>
      <c r="D2" s="81" t="s">
        <v>216</v>
      </c>
      <c r="E2" s="81" t="s">
        <v>217</v>
      </c>
      <c r="F2" s="81" t="s">
        <v>218</v>
      </c>
      <c r="G2" s="81" t="s">
        <v>219</v>
      </c>
      <c r="H2" s="81" t="s">
        <v>220</v>
      </c>
      <c r="I2" s="81" t="s">
        <v>221</v>
      </c>
      <c r="J2" s="82" t="s">
        <v>222</v>
      </c>
    </row>
    <row r="3" spans="1:11" ht="19.5" customHeight="1" x14ac:dyDescent="0.25">
      <c r="A3" s="83" t="s">
        <v>223</v>
      </c>
      <c r="B3" s="84">
        <v>111223</v>
      </c>
      <c r="C3" s="85">
        <v>8</v>
      </c>
      <c r="D3" s="85">
        <v>7.1</v>
      </c>
      <c r="E3" s="85">
        <v>8.4</v>
      </c>
      <c r="F3" s="145">
        <f>AVERAGE(C3:E3)</f>
        <v>7.833333333333333</v>
      </c>
      <c r="G3" s="85" t="s">
        <v>224</v>
      </c>
      <c r="H3" s="145">
        <f>C3*30%+D3*30%+E3*40%</f>
        <v>7.89</v>
      </c>
      <c r="I3" s="85" t="e">
        <f>VLOOKUP(M3,$G$17:$H$21,2,0)</f>
        <v>#N/A</v>
      </c>
      <c r="J3" s="86"/>
      <c r="K3" s="149">
        <f>MROUND(H3,1)</f>
        <v>8</v>
      </c>
    </row>
    <row r="4" spans="1:11" ht="19.5" customHeight="1" x14ac:dyDescent="0.25">
      <c r="A4" s="83" t="s">
        <v>225</v>
      </c>
      <c r="B4" s="84">
        <v>444555666</v>
      </c>
      <c r="C4" s="85">
        <v>10</v>
      </c>
      <c r="D4" s="85">
        <v>7</v>
      </c>
      <c r="E4" s="85">
        <v>8</v>
      </c>
      <c r="F4" s="145">
        <f t="shared" ref="F4:F13" si="0">AVERAGE(C4:E4)</f>
        <v>8.3333333333333339</v>
      </c>
      <c r="G4" s="85" t="s">
        <v>226</v>
      </c>
      <c r="H4" s="145">
        <f t="shared" ref="H4:H13" si="1">C4*30%+D4*30%+E4*40%</f>
        <v>8.3000000000000007</v>
      </c>
      <c r="I4" s="85"/>
      <c r="J4" s="86"/>
      <c r="K4" s="147">
        <f t="shared" ref="K4:K13" si="2">MROUND(H4,1)</f>
        <v>8</v>
      </c>
    </row>
    <row r="5" spans="1:11" ht="19.5" customHeight="1" x14ac:dyDescent="0.25">
      <c r="A5" s="83" t="s">
        <v>227</v>
      </c>
      <c r="B5" s="84">
        <v>777889999</v>
      </c>
      <c r="C5" s="85">
        <v>7</v>
      </c>
      <c r="D5" s="85">
        <v>7</v>
      </c>
      <c r="E5" s="85">
        <v>6</v>
      </c>
      <c r="F5" s="145">
        <f t="shared" si="0"/>
        <v>6.666666666666667</v>
      </c>
      <c r="G5" s="85" t="s">
        <v>224</v>
      </c>
      <c r="H5" s="145">
        <f t="shared" si="1"/>
        <v>6.6000000000000005</v>
      </c>
      <c r="I5" s="85"/>
      <c r="J5" s="86"/>
      <c r="K5" s="147">
        <f t="shared" si="2"/>
        <v>7</v>
      </c>
    </row>
    <row r="6" spans="1:11" ht="19.5" customHeight="1" x14ac:dyDescent="0.25">
      <c r="A6" s="83" t="s">
        <v>228</v>
      </c>
      <c r="B6" s="84">
        <v>123456789</v>
      </c>
      <c r="C6" s="85">
        <v>6.5</v>
      </c>
      <c r="D6" s="85">
        <v>6.5</v>
      </c>
      <c r="E6" s="85">
        <v>6</v>
      </c>
      <c r="F6" s="145">
        <f t="shared" si="0"/>
        <v>6.333333333333333</v>
      </c>
      <c r="G6" s="85" t="s">
        <v>224</v>
      </c>
      <c r="H6" s="145">
        <f t="shared" si="1"/>
        <v>6.3000000000000007</v>
      </c>
      <c r="I6" s="85"/>
      <c r="J6" s="86"/>
      <c r="K6" s="147">
        <f t="shared" si="2"/>
        <v>6</v>
      </c>
    </row>
    <row r="7" spans="1:11" ht="19.5" customHeight="1" x14ac:dyDescent="0.25">
      <c r="A7" s="83" t="s">
        <v>229</v>
      </c>
      <c r="B7" s="84">
        <v>999999999</v>
      </c>
      <c r="C7" s="85">
        <v>7</v>
      </c>
      <c r="D7" s="85">
        <v>7</v>
      </c>
      <c r="E7" s="85">
        <v>6</v>
      </c>
      <c r="F7" s="145">
        <f t="shared" si="0"/>
        <v>6.666666666666667</v>
      </c>
      <c r="G7" s="85" t="s">
        <v>224</v>
      </c>
      <c r="H7" s="145">
        <f t="shared" si="1"/>
        <v>6.6000000000000005</v>
      </c>
      <c r="I7" s="85"/>
      <c r="J7" s="86"/>
      <c r="K7" s="147">
        <f t="shared" si="2"/>
        <v>7</v>
      </c>
    </row>
    <row r="8" spans="1:11" ht="19.5" customHeight="1" x14ac:dyDescent="0.25">
      <c r="A8" s="83" t="s">
        <v>230</v>
      </c>
      <c r="B8" s="84">
        <v>888888888</v>
      </c>
      <c r="C8" s="85">
        <v>9</v>
      </c>
      <c r="D8" s="85">
        <v>9</v>
      </c>
      <c r="E8" s="85">
        <v>7</v>
      </c>
      <c r="F8" s="145">
        <f t="shared" si="0"/>
        <v>8.3333333333333339</v>
      </c>
      <c r="G8" s="85" t="s">
        <v>224</v>
      </c>
      <c r="H8" s="145">
        <f t="shared" si="1"/>
        <v>8.1999999999999993</v>
      </c>
      <c r="I8" s="85"/>
      <c r="J8" s="86"/>
      <c r="K8" s="147">
        <f t="shared" si="2"/>
        <v>8</v>
      </c>
    </row>
    <row r="9" spans="1:11" ht="19.5" customHeight="1" x14ac:dyDescent="0.25">
      <c r="A9" s="83" t="s">
        <v>231</v>
      </c>
      <c r="B9" s="84">
        <v>100000000</v>
      </c>
      <c r="C9" s="85">
        <v>6</v>
      </c>
      <c r="D9" s="85">
        <v>4</v>
      </c>
      <c r="E9" s="85">
        <v>4</v>
      </c>
      <c r="F9" s="145">
        <f t="shared" si="0"/>
        <v>4.666666666666667</v>
      </c>
      <c r="G9" s="85" t="s">
        <v>226</v>
      </c>
      <c r="H9" s="145">
        <f t="shared" si="1"/>
        <v>4.5999999999999996</v>
      </c>
      <c r="I9" s="85"/>
      <c r="J9" s="86"/>
      <c r="K9" s="147">
        <f t="shared" si="2"/>
        <v>5</v>
      </c>
    </row>
    <row r="10" spans="1:11" ht="19.5" customHeight="1" x14ac:dyDescent="0.25">
      <c r="A10" s="83" t="s">
        <v>31</v>
      </c>
      <c r="B10" s="84">
        <v>222222222</v>
      </c>
      <c r="C10" s="85">
        <v>7.5</v>
      </c>
      <c r="D10" s="85">
        <v>7</v>
      </c>
      <c r="E10" s="85">
        <v>9.5</v>
      </c>
      <c r="F10" s="145">
        <f t="shared" si="0"/>
        <v>8</v>
      </c>
      <c r="G10" s="85" t="s">
        <v>224</v>
      </c>
      <c r="H10" s="145">
        <f t="shared" si="1"/>
        <v>8.15</v>
      </c>
      <c r="I10" s="85"/>
      <c r="J10" s="86"/>
      <c r="K10" s="147">
        <f t="shared" si="2"/>
        <v>8</v>
      </c>
    </row>
    <row r="11" spans="1:11" ht="19.5" customHeight="1" x14ac:dyDescent="0.25">
      <c r="A11" s="83" t="s">
        <v>232</v>
      </c>
      <c r="B11" s="84">
        <v>200000000</v>
      </c>
      <c r="C11" s="85">
        <v>8</v>
      </c>
      <c r="D11" s="85">
        <v>9</v>
      </c>
      <c r="E11" s="85">
        <v>7</v>
      </c>
      <c r="F11" s="145">
        <f t="shared" si="0"/>
        <v>8</v>
      </c>
      <c r="G11" s="85" t="s">
        <v>224</v>
      </c>
      <c r="H11" s="145">
        <f t="shared" si="1"/>
        <v>7.9</v>
      </c>
      <c r="I11" s="85"/>
      <c r="J11" s="86"/>
      <c r="K11" s="147">
        <f t="shared" si="2"/>
        <v>8</v>
      </c>
    </row>
    <row r="12" spans="1:11" ht="19.5" customHeight="1" x14ac:dyDescent="0.25">
      <c r="A12" s="83" t="s">
        <v>233</v>
      </c>
      <c r="B12" s="84">
        <v>444444444</v>
      </c>
      <c r="C12" s="85">
        <v>8.1999999999999993</v>
      </c>
      <c r="D12" s="85">
        <v>7.8</v>
      </c>
      <c r="E12" s="85">
        <v>7.7</v>
      </c>
      <c r="F12" s="145">
        <f t="shared" si="0"/>
        <v>7.8999999999999995</v>
      </c>
      <c r="G12" s="85" t="s">
        <v>226</v>
      </c>
      <c r="H12" s="145">
        <f t="shared" si="1"/>
        <v>7.879999999999999</v>
      </c>
      <c r="I12" s="85"/>
      <c r="J12" s="86"/>
      <c r="K12" s="147">
        <f t="shared" si="2"/>
        <v>8</v>
      </c>
    </row>
    <row r="13" spans="1:11" ht="15.6" thickBot="1" x14ac:dyDescent="0.3">
      <c r="A13" s="87" t="s">
        <v>234</v>
      </c>
      <c r="B13" s="88">
        <v>555555555</v>
      </c>
      <c r="C13" s="89">
        <v>6</v>
      </c>
      <c r="D13" s="89">
        <v>8.8000000000000007</v>
      </c>
      <c r="E13" s="89">
        <v>5</v>
      </c>
      <c r="F13" s="145">
        <f t="shared" si="0"/>
        <v>6.6000000000000005</v>
      </c>
      <c r="G13" s="89" t="s">
        <v>226</v>
      </c>
      <c r="H13" s="145">
        <f t="shared" si="1"/>
        <v>6.4399999999999995</v>
      </c>
      <c r="I13" s="85"/>
      <c r="J13" s="86"/>
      <c r="K13" s="147">
        <f t="shared" si="2"/>
        <v>6</v>
      </c>
    </row>
    <row r="14" spans="1:11" ht="19.5" customHeight="1" x14ac:dyDescent="0.25">
      <c r="K14" s="147"/>
    </row>
    <row r="15" spans="1:11" ht="15.6" thickBot="1" x14ac:dyDescent="0.3"/>
    <row r="16" spans="1:11" ht="17.399999999999999" x14ac:dyDescent="0.3">
      <c r="A16" s="90" t="s">
        <v>235</v>
      </c>
      <c r="B16" s="91">
        <v>0.3</v>
      </c>
      <c r="C16" s="91">
        <v>0.3</v>
      </c>
      <c r="D16" s="92">
        <v>0.4</v>
      </c>
      <c r="E16" s="121" t="s">
        <v>236</v>
      </c>
      <c r="G16" s="123" t="s">
        <v>221</v>
      </c>
      <c r="H16" s="124"/>
    </row>
    <row r="17" spans="1:8" ht="15.6" x14ac:dyDescent="0.3">
      <c r="A17" s="83" t="s">
        <v>237</v>
      </c>
      <c r="B17" s="145"/>
      <c r="C17" s="85"/>
      <c r="D17" s="86"/>
      <c r="E17" s="122"/>
      <c r="G17" s="146" t="s">
        <v>255</v>
      </c>
      <c r="H17" s="148" t="s">
        <v>238</v>
      </c>
    </row>
    <row r="18" spans="1:8" ht="16.2" thickBot="1" x14ac:dyDescent="0.35">
      <c r="A18" s="83" t="s">
        <v>239</v>
      </c>
      <c r="B18" s="85"/>
      <c r="C18" s="85"/>
      <c r="D18" s="86"/>
      <c r="E18" s="93">
        <v>3</v>
      </c>
      <c r="G18" s="146" t="s">
        <v>256</v>
      </c>
      <c r="H18" s="148" t="s">
        <v>240</v>
      </c>
    </row>
    <row r="19" spans="1:8" ht="16.2" thickBot="1" x14ac:dyDescent="0.35">
      <c r="A19" s="87" t="s">
        <v>241</v>
      </c>
      <c r="B19" s="89"/>
      <c r="C19" s="89"/>
      <c r="D19" s="94"/>
      <c r="G19" s="146" t="s">
        <v>257</v>
      </c>
      <c r="H19" s="148" t="s">
        <v>242</v>
      </c>
    </row>
    <row r="20" spans="1:8" ht="15.6" x14ac:dyDescent="0.3">
      <c r="G20" s="146" t="s">
        <v>258</v>
      </c>
      <c r="H20" s="148" t="s">
        <v>243</v>
      </c>
    </row>
    <row r="21" spans="1:8" ht="15.6" x14ac:dyDescent="0.3">
      <c r="G21" s="146" t="s">
        <v>259</v>
      </c>
      <c r="H21" s="148" t="s">
        <v>244</v>
      </c>
    </row>
    <row r="29" spans="1:8" x14ac:dyDescent="0.25">
      <c r="G29" s="79" t="s">
        <v>245</v>
      </c>
    </row>
  </sheetData>
  <mergeCells count="3">
    <mergeCell ref="A1:J1"/>
    <mergeCell ref="E16:E17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ADMIN</cp:lastModifiedBy>
  <cp:lastPrinted>2021-11-03T07:46:30Z</cp:lastPrinted>
  <dcterms:created xsi:type="dcterms:W3CDTF">2021-11-03T00:51:30Z</dcterms:created>
  <dcterms:modified xsi:type="dcterms:W3CDTF">2021-11-04T07:30:43Z</dcterms:modified>
</cp:coreProperties>
</file>